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164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'Lapas1'!$A$1:$M$217</definedName>
  </definedNames>
  <calcPr fullCalcOnLoad="1"/>
</workbook>
</file>

<file path=xl/comments1.xml><?xml version="1.0" encoding="utf-8"?>
<comments xmlns="http://schemas.openxmlformats.org/spreadsheetml/2006/main">
  <authors>
    <author>Vartotojas</author>
  </authors>
  <commentList>
    <comment ref="C28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L. r. 200707601</t>
        </r>
      </text>
    </comment>
    <comment ref="C29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L. r. 111017143
L. r. 200707601
</t>
        </r>
      </text>
    </comment>
    <comment ref="C30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L. r. 200707601
</t>
        </r>
      </text>
    </comment>
    <comment ref="C31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L. r. 200707601
</t>
        </r>
      </text>
    </comment>
    <comment ref="C32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l.r.200707601
</t>
        </r>
      </text>
    </comment>
    <comment ref="C33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L. r. 202110001
</t>
        </r>
      </text>
    </comment>
    <comment ref="C34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200707601
</t>
        </r>
      </text>
    </comment>
    <comment ref="C35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L. r. 200707602
L. r. 111017165
</t>
        </r>
      </text>
    </comment>
    <comment ref="C36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l.r.202110002</t>
        </r>
      </text>
    </comment>
    <comment ref="C37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202110009
</t>
        </r>
      </text>
    </comment>
    <comment ref="C158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visos l. r.</t>
        </r>
      </text>
    </comment>
    <comment ref="C160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202112012</t>
        </r>
      </text>
    </comment>
    <comment ref="C172" authorId="0">
      <text>
        <r>
          <rPr>
            <b/>
            <sz val="8"/>
            <rFont val="Tahoma"/>
            <family val="2"/>
          </rPr>
          <t>Vartotojas:</t>
        </r>
        <r>
          <rPr>
            <sz val="8"/>
            <rFont val="Tahoma"/>
            <family val="2"/>
          </rPr>
          <t xml:space="preserve">
l.r.111017000</t>
        </r>
      </text>
    </comment>
  </commentList>
</comments>
</file>

<file path=xl/sharedStrings.xml><?xml version="1.0" encoding="utf-8"?>
<sst xmlns="http://schemas.openxmlformats.org/spreadsheetml/2006/main" count="293" uniqueCount="187">
  <si>
    <t>Kitos pavedimų lėšos</t>
  </si>
  <si>
    <t>Paramos lėšos</t>
  </si>
  <si>
    <t>Pajamos ir likutis</t>
  </si>
  <si>
    <t>Planuojamos suminės pajamos arba skirtas finansavimas</t>
  </si>
  <si>
    <t>Lėšų likutis (pajamos -išlaidos)</t>
  </si>
  <si>
    <t xml:space="preserve">Planuojama skirti 2015 m. </t>
  </si>
  <si>
    <t>Nefinansuota dalis (poreikis -finansavimas)</t>
  </si>
  <si>
    <t>Eil. Nr.</t>
  </si>
  <si>
    <t>Išlaidų paskirstymas</t>
  </si>
  <si>
    <t xml:space="preserve">VU Infrastruktūros išlaikymas </t>
  </si>
  <si>
    <t>Eksploatacija, paslaugos ir statybos</t>
  </si>
  <si>
    <t>A. Eksploatavimo ir paslaugų dir.</t>
  </si>
  <si>
    <t xml:space="preserve"> 1.1. Transporto išlaikymui</t>
  </si>
  <si>
    <t xml:space="preserve"> 1.2. Ilg.turto (ūkinės paskirties inventor.) įsig.</t>
  </si>
  <si>
    <t>1.3. Darbo užmokesčio fondui</t>
  </si>
  <si>
    <t>1.5. Komandiruotėms</t>
  </si>
  <si>
    <t>1.6. Miestų ir gyv.vieš. ūkiui</t>
  </si>
  <si>
    <t xml:space="preserve">1.7. Kitoms paslaugoms </t>
  </si>
  <si>
    <t>1.8. Komunalinėms paslaugoms</t>
  </si>
  <si>
    <t xml:space="preserve">       1.8.1. Šildymui</t>
  </si>
  <si>
    <t xml:space="preserve">       1.8.2. Elektros energijai</t>
  </si>
  <si>
    <t xml:space="preserve">       1.8.3. Vandent. Ir kanalizacijai</t>
  </si>
  <si>
    <t xml:space="preserve">       1.8.4. Gamtinės dujos</t>
  </si>
  <si>
    <t>B.Statybos ir remonto direkcija</t>
  </si>
  <si>
    <t>1.9. Kitam ilgalaikiam materialiam turtui</t>
  </si>
  <si>
    <t>1.10. Darbo užmokesčio fondui</t>
  </si>
  <si>
    <t>1.11. Transporto išlaidos</t>
  </si>
  <si>
    <t>1.12. Kitoms prekėms (aprangai, kt.prekėms)</t>
  </si>
  <si>
    <t>1.13. Kitoms ūkio išlaidoms ( koman., kvalif.kėl.)</t>
  </si>
  <si>
    <t>Techniniams projektams, ekspertizėms, energetiniam auditui, projektavimui</t>
  </si>
  <si>
    <t>1.14. Kitoms paslaugoms</t>
  </si>
  <si>
    <t>B.II. Statybos ir remonto fondas</t>
  </si>
  <si>
    <t>Investicinių projektų parengimui</t>
  </si>
  <si>
    <t>Botanikos sodas (15%)</t>
  </si>
  <si>
    <t>Ryšių administravimui</t>
  </si>
  <si>
    <t>Kompiuterinės ir programinės įrangos atnaujinimui</t>
  </si>
  <si>
    <t>!</t>
  </si>
  <si>
    <t>Efektyvus valdymas</t>
  </si>
  <si>
    <t>Centrinės administracijos valdymui ir veiklai reikalingos priemones</t>
  </si>
  <si>
    <t>Viešųjų pirkimo tarnybos skelbimams</t>
  </si>
  <si>
    <t>Ekspertų paslaugoms</t>
  </si>
  <si>
    <t>Buhalterinės ir finansų apskaitos sistemų licencijos ir aptarnavimas, plėtojimas</t>
  </si>
  <si>
    <t>Išsamaus sąnaudų skaičiavimo projekto tęstinumui, VU veiklos PVM požiūriu analizei užtikrinti</t>
  </si>
  <si>
    <t>Darbuotojų darbo užmokestis</t>
  </si>
  <si>
    <t>Aukščiausio lygio administratorių darbo užmokesčio fondui</t>
  </si>
  <si>
    <t xml:space="preserve"> Centrinės administracijos darbuotojų darbo užmokesčio fondui ir kt.</t>
  </si>
  <si>
    <t>Informacinių technologijų taikymo centras DU (20%)</t>
  </si>
  <si>
    <t>Tarybos fondas</t>
  </si>
  <si>
    <t>Senato fondas</t>
  </si>
  <si>
    <t>Mokslo universitetas</t>
  </si>
  <si>
    <t>Įvairių leidinių rengimui</t>
  </si>
  <si>
    <t>LMT ir MITA projektų išlaidų kompensavimas</t>
  </si>
  <si>
    <t>Mokslo projektų apyvartinių lėšų skolinimo fondas</t>
  </si>
  <si>
    <t>Mokslo skatinimas</t>
  </si>
  <si>
    <t>Mokslininkų mobilumui ir mokslo iniciatyvų skatinimui (Mokslo fondas)</t>
  </si>
  <si>
    <t>Mokslininkų skatinimo metinėms premijoms</t>
  </si>
  <si>
    <t>Doktorantūros proceso užtikrinimo fondas</t>
  </si>
  <si>
    <t>Akademinių padalinių lėšos DU ir mobilumui</t>
  </si>
  <si>
    <t xml:space="preserve"> Biochemijos institutui (570000)</t>
  </si>
  <si>
    <t xml:space="preserve"> Biotechnologijos institutui (560000)</t>
  </si>
  <si>
    <t xml:space="preserve"> Matematikos ir inform.  institutui (580000)</t>
  </si>
  <si>
    <t xml:space="preserve"> Teorinės fizikos ir astr. Institutui (550000)</t>
  </si>
  <si>
    <t>Taikomųjų mokslų institutas (230000)</t>
  </si>
  <si>
    <t xml:space="preserve"> Chemijos fakultetui (130000)</t>
  </si>
  <si>
    <t>Ekonomikos fakultetui (190000)</t>
  </si>
  <si>
    <t xml:space="preserve"> Filologijos fakultetui (180000)</t>
  </si>
  <si>
    <t xml:space="preserve"> Filosofijos fakultetui (250000)</t>
  </si>
  <si>
    <t xml:space="preserve"> Fizikos fakultetui (120000)</t>
  </si>
  <si>
    <t>Gamtos mokslų fakultetui (140000)</t>
  </si>
  <si>
    <t xml:space="preserve"> Istorijos fakultetui (170000)</t>
  </si>
  <si>
    <t xml:space="preserve"> Kauno humanitariniam fakultetui (240000)</t>
  </si>
  <si>
    <t xml:space="preserve"> Komunikacijos fakultetui (160000)</t>
  </si>
  <si>
    <t xml:space="preserve"> Matematikos ir inform. fakultetui (110000)</t>
  </si>
  <si>
    <t xml:space="preserve">  Medicinos fakultetui  (150000)</t>
  </si>
  <si>
    <t xml:space="preserve"> Tarp. sant. ir polit. moks. Institutui (270000)</t>
  </si>
  <si>
    <t xml:space="preserve"> Teisės fakultetui (220000)</t>
  </si>
  <si>
    <t>Užsienio kalbų institutas (290000)</t>
  </si>
  <si>
    <t>Botanikos sodas (25%)</t>
  </si>
  <si>
    <t>Valstyb.reikšmės VU bibliotekos veiklos užtikrinimas (DU)(45%)</t>
  </si>
  <si>
    <t>Informacinių technologijų taikymo centras DU (45%)</t>
  </si>
  <si>
    <t>Doktorantų ir rezidentų mobilumas</t>
  </si>
  <si>
    <t>Mokslo universitetas  iš viso:</t>
  </si>
  <si>
    <t>Tarptautinio lygmens studijos</t>
  </si>
  <si>
    <t>Akademinių padalinių lėšos DU</t>
  </si>
  <si>
    <t xml:space="preserve">  Medicinos fakultetui  (150000) (doktor.)</t>
  </si>
  <si>
    <t>Lyčių studijų centras DU+prekės</t>
  </si>
  <si>
    <t>Orientalistikos centras DU</t>
  </si>
  <si>
    <t>Religijos studijų ir tyrimų centras DU +prekės</t>
  </si>
  <si>
    <t>Studentų rėmimas</t>
  </si>
  <si>
    <t>Skatinamosios studentų stipendijos</t>
  </si>
  <si>
    <t>Doktorantų stipendijos</t>
  </si>
  <si>
    <t>Rezidentų stipendijos</t>
  </si>
  <si>
    <t>Stipendijos užsienio šalių studentams pagal tarptaut. sutartis</t>
  </si>
  <si>
    <t xml:space="preserve">VUSA veiklai suteikta parama </t>
  </si>
  <si>
    <t>Vienkartinėms tikslinėms ir socialinėms stipendijoms</t>
  </si>
  <si>
    <t>Su studijų procesu tiesiogiai susijusios priemonės</t>
  </si>
  <si>
    <t>Naujų diplomų ir jų priedėlių blankų įsigijimui</t>
  </si>
  <si>
    <t>Dėstytojų     skatinimo metinėms premijoms</t>
  </si>
  <si>
    <t>Elektroninių studijų ir egzaminavimo centras DU</t>
  </si>
  <si>
    <t>Botanikos sodas (20%)</t>
  </si>
  <si>
    <t>Valstyb.reikšmės VU bibliotekos veiklos užtikrinimas (DU)(35%)</t>
  </si>
  <si>
    <t>VU Sveikatos ir sporto centrui (70%)</t>
  </si>
  <si>
    <t>Informacinių technologijų taikymo centras DU (35%)</t>
  </si>
  <si>
    <t>Rezervas (BUS, gretutinės studijos)</t>
  </si>
  <si>
    <t>Tarptautinio lygio studijos iš viso:</t>
  </si>
  <si>
    <t>Darni, tradicijas puoselėjanti bendruomenė</t>
  </si>
  <si>
    <t>Tikslinių priemonių įgyvendinimas</t>
  </si>
  <si>
    <t>Sporto bazių išlaidų padengimui</t>
  </si>
  <si>
    <t>SELL studentų sporto žaidynėms</t>
  </si>
  <si>
    <t>Universiada (darbuotojų vaikų stovyklai)</t>
  </si>
  <si>
    <t>Įvairių atstovavimo mokesčių padengimui</t>
  </si>
  <si>
    <t>Nemokamų psicholog. paslaugų. VU bendruomenės nariams teikimui</t>
  </si>
  <si>
    <t>Lėšos užsienio kalbų mokymui</t>
  </si>
  <si>
    <t>Kitoms tikslinėms nenumatytoms išlaidoms</t>
  </si>
  <si>
    <t>Botanikos sodas (5%)</t>
  </si>
  <si>
    <t>Valstyb.reikšmės VU bibliotekos veiklos užtikrinimas (DU)(5%)</t>
  </si>
  <si>
    <t>Kultūros centrui (20%)</t>
  </si>
  <si>
    <t>VU Sveikatos ir sporto centrui (20%)</t>
  </si>
  <si>
    <t>Materialinės pašalpos</t>
  </si>
  <si>
    <t>Aktyvi universiteto partnerystė</t>
  </si>
  <si>
    <t>VU IRVS periodiniai leidiniai</t>
  </si>
  <si>
    <t>Rektoriaus fondas reprezentacijos reikmėms</t>
  </si>
  <si>
    <t>Padalinių rėmimas</t>
  </si>
  <si>
    <t>Kultūros centrui (80%)</t>
  </si>
  <si>
    <t xml:space="preserve">VU Muziejui </t>
  </si>
  <si>
    <t>Botanikos sodas (35 %)</t>
  </si>
  <si>
    <t>VU Sveikatos ir sporto centrui (10%)</t>
  </si>
  <si>
    <t>VU palydovo programa</t>
  </si>
  <si>
    <t>Tarptautinis bendradarbiavimas</t>
  </si>
  <si>
    <t>Tiksliniai projektai</t>
  </si>
  <si>
    <t>Projektui VU Bibliotekos senųjų rankraščių inventorizacija</t>
  </si>
  <si>
    <t>Aktyvi universiteto partnerystė iš viso:</t>
  </si>
  <si>
    <t>NEPRISKIRTI</t>
  </si>
  <si>
    <t>VU plėtros ir investicinė programa</t>
  </si>
  <si>
    <t>VU Senųjų rūmų architektūrinio ansamblio sudėtingos infostruktūros objekto finansavimas</t>
  </si>
  <si>
    <t>VU Botanikos sodo sudėtingos infrastuktūros objekto finansavimas</t>
  </si>
  <si>
    <t>Strateginės kryptys</t>
  </si>
  <si>
    <t>MU</t>
  </si>
  <si>
    <t>TLS</t>
  </si>
  <si>
    <t>DTPB</t>
  </si>
  <si>
    <t>AUP</t>
  </si>
  <si>
    <t>EV</t>
  </si>
  <si>
    <t>INFR</t>
  </si>
  <si>
    <t>Nepriskirti</t>
  </si>
  <si>
    <r>
      <t xml:space="preserve">2015 m. </t>
    </r>
    <r>
      <rPr>
        <b/>
        <u val="single"/>
        <sz val="8"/>
        <rFont val="Times New Roman"/>
        <family val="1"/>
      </rPr>
      <t>poreikis (pageidavo)</t>
    </r>
  </si>
  <si>
    <r>
      <t>Studijų proceso organizavimui (</t>
    </r>
    <r>
      <rPr>
        <b/>
        <sz val="8"/>
        <rFont val="Times New Roman"/>
        <family val="1"/>
      </rPr>
      <t>SD-jos priemonės)</t>
    </r>
  </si>
  <si>
    <r>
      <t>Iškilių VU  mokslininkų ir  pedagogų rėmimas.</t>
    </r>
    <r>
      <rPr>
        <sz val="8"/>
        <rFont val="Times New Roman"/>
        <family val="1"/>
      </rPr>
      <t xml:space="preserve"> Emeritūros išmokoms</t>
    </r>
  </si>
  <si>
    <t>LMT/MITA pridėtinės            (91 f.)</t>
  </si>
  <si>
    <t>NKP, NKP Doktorantai</t>
  </si>
  <si>
    <t>2015 m. nuosavos  lėšos</t>
  </si>
  <si>
    <t>Nepriskirti iš viso:</t>
  </si>
  <si>
    <r>
      <rPr>
        <b/>
        <sz val="8"/>
        <rFont val="Times New Roman"/>
        <family val="1"/>
      </rPr>
      <t>Iš viso skirta</t>
    </r>
    <r>
      <rPr>
        <b/>
        <sz val="7"/>
        <rFont val="Times New Roman"/>
        <family val="1"/>
      </rPr>
      <t xml:space="preserve"> (visi finansavimo šaltiniai)</t>
    </r>
  </si>
  <si>
    <t>2015 m. valstybės biudž. asign. (rudens priėmimas)</t>
  </si>
  <si>
    <t>2015 m. valstybės biudžeto asignavimai</t>
  </si>
  <si>
    <t>Pavedimų, projektų, paramos lėšos</t>
  </si>
  <si>
    <t>Strateginio plano priemonių vykdymui</t>
  </si>
  <si>
    <t>IŠ VISO:</t>
  </si>
  <si>
    <t xml:space="preserve">Mokslo universitetas  </t>
  </si>
  <si>
    <t xml:space="preserve">Tarptautinio lygio studijos </t>
  </si>
  <si>
    <t xml:space="preserve">Darni, tradicijas puoselėjanti bendruomenė </t>
  </si>
  <si>
    <t xml:space="preserve">Aktyvi universiteto partnerystė </t>
  </si>
  <si>
    <t xml:space="preserve">Efektyvus valdymas </t>
  </si>
  <si>
    <t xml:space="preserve"> VU infrastruktūros išlaikymas </t>
  </si>
  <si>
    <t>2015 m. valstybės biudžeto asign. (rudens priėmimas)</t>
  </si>
  <si>
    <t>Iš viso (pajamos ir likutis)</t>
  </si>
  <si>
    <t>BRFir kiti finansavimo šaltiniai</t>
  </si>
  <si>
    <t>1.4. Kitoms prekėms (apranga, kt. pr., ilg.turto ein.remontas, kvalifikac. kėlimas)</t>
  </si>
  <si>
    <t>ES SF projektų apyvartinėms lėšom, netinkamoms išlaidoms, galimam kofinansavimui</t>
  </si>
  <si>
    <t>Ilgalaikio turto įsigijimas CA</t>
  </si>
  <si>
    <t>Administracijos einamosios išlaidos (paštas, telefonai, internetas, prekės  ir kt.)</t>
  </si>
  <si>
    <t>Padalinių rėmimas (Centrinė administracija)</t>
  </si>
  <si>
    <t>Strateginių tikslų įgyvendinimas, savianalizės ir strateginio veiklos plano įgyvendinimas</t>
  </si>
  <si>
    <t xml:space="preserve"> VU infrastruktūros išlaikymas, iš viso:</t>
  </si>
  <si>
    <t>Efektyvus valdymas, iš viso:</t>
  </si>
  <si>
    <t>Iš viso skirta (visi finansavimo šaltiniai)</t>
  </si>
  <si>
    <t>Darni, tradicijas puoselėjanti bendruomenė, iš viso:</t>
  </si>
  <si>
    <t xml:space="preserve"> VU bibliotekos veiklos užtikrinimas (DU) (15%)</t>
  </si>
  <si>
    <t>VU bibliotekai (prenumerata, duomenų bazės, tiksliniai įnašai)</t>
  </si>
  <si>
    <t>Botanikos sodo administracinio pastato rekonstravimas,  VIP programa</t>
  </si>
  <si>
    <t>VU Senosios bibliotekos rekonstravimas, VIP programa</t>
  </si>
  <si>
    <t xml:space="preserve">Plano projekto suvestinė </t>
  </si>
  <si>
    <t>Iš viso       (visi finansavimo šaltiniai)</t>
  </si>
  <si>
    <t>Lėšų likutis metų pradžioje (2015-01-01 )</t>
  </si>
  <si>
    <t>Valstybės budžeto asignavimai</t>
  </si>
  <si>
    <r>
      <t xml:space="preserve">Vilniaus universiteto 2015 metų biudžeto projektas (valstybės biudžeto asignavimai ir Bendrojo raidos fondo pajamos), </t>
    </r>
    <r>
      <rPr>
        <b/>
        <i/>
        <sz val="16"/>
        <rFont val="Times New Roman"/>
        <family val="1"/>
      </rPr>
      <t>Eur</t>
    </r>
  </si>
  <si>
    <r>
      <t xml:space="preserve">VU 2015 m.  biudžeto projekto planuojamos pajamos (valstybės biudžeto, bendrojo raidos fondo ir paramos  lėšos), </t>
    </r>
    <r>
      <rPr>
        <b/>
        <i/>
        <sz val="14"/>
        <rFont val="Times New Roman"/>
        <family val="1"/>
      </rPr>
      <t>Eur</t>
    </r>
  </si>
  <si>
    <t>A PRIEDAS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</si>
</sst>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7"/>
      <name val="Times New Roman"/>
      <family val="1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ACBA4"/>
        <bgColor indexed="64"/>
      </patternFill>
    </fill>
    <fill>
      <patternFill patternType="solid">
        <fgColor rgb="FFD7E4BC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vertical="center" wrapText="1"/>
    </xf>
    <xf numFmtId="3" fontId="64" fillId="13" borderId="12" xfId="0" applyNumberFormat="1" applyFont="1" applyFill="1" applyBorder="1" applyAlignment="1">
      <alignment vertical="center"/>
    </xf>
    <xf numFmtId="3" fontId="10" fillId="34" borderId="12" xfId="0" applyNumberFormat="1" applyFont="1" applyFill="1" applyBorder="1" applyAlignment="1">
      <alignment vertical="center"/>
    </xf>
    <xf numFmtId="3" fontId="65" fillId="34" borderId="12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3" fontId="4" fillId="10" borderId="12" xfId="0" applyNumberFormat="1" applyFont="1" applyFill="1" applyBorder="1" applyAlignment="1">
      <alignment vertical="center" wrapText="1"/>
    </xf>
    <xf numFmtId="3" fontId="4" fillId="10" borderId="13" xfId="0" applyNumberFormat="1" applyFont="1" applyFill="1" applyBorder="1" applyAlignment="1">
      <alignment vertical="center"/>
    </xf>
    <xf numFmtId="3" fontId="2" fillId="10" borderId="12" xfId="0" applyNumberFormat="1" applyFont="1" applyFill="1" applyBorder="1" applyAlignment="1">
      <alignment vertical="center"/>
    </xf>
    <xf numFmtId="3" fontId="2" fillId="10" borderId="13" xfId="0" applyNumberFormat="1" applyFont="1" applyFill="1" applyBorder="1" applyAlignment="1">
      <alignment vertical="center"/>
    </xf>
    <xf numFmtId="3" fontId="4" fillId="10" borderId="16" xfId="0" applyNumberFormat="1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textRotation="255"/>
    </xf>
    <xf numFmtId="3" fontId="12" fillId="33" borderId="12" xfId="0" applyNumberFormat="1" applyFont="1" applyFill="1" applyBorder="1" applyAlignment="1">
      <alignment vertical="center" wrapText="1"/>
    </xf>
    <xf numFmtId="3" fontId="12" fillId="33" borderId="12" xfId="0" applyNumberFormat="1" applyFont="1" applyFill="1" applyBorder="1" applyAlignment="1">
      <alignment vertical="center"/>
    </xf>
    <xf numFmtId="3" fontId="13" fillId="34" borderId="12" xfId="0" applyNumberFormat="1" applyFont="1" applyFill="1" applyBorder="1" applyAlignment="1">
      <alignment vertical="center" wrapText="1"/>
    </xf>
    <xf numFmtId="3" fontId="2" fillId="34" borderId="18" xfId="0" applyNumberFormat="1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vertical="center" wrapText="1"/>
    </xf>
    <xf numFmtId="3" fontId="4" fillId="10" borderId="11" xfId="0" applyNumberFormat="1" applyFont="1" applyFill="1" applyBorder="1" applyAlignment="1">
      <alignment vertical="center" wrapText="1"/>
    </xf>
    <xf numFmtId="3" fontId="4" fillId="10" borderId="20" xfId="0" applyNumberFormat="1" applyFont="1" applyFill="1" applyBorder="1" applyAlignment="1">
      <alignment vertical="center" wrapText="1"/>
    </xf>
    <xf numFmtId="3" fontId="2" fillId="10" borderId="12" xfId="0" applyNumberFormat="1" applyFont="1" applyFill="1" applyBorder="1" applyAlignment="1">
      <alignment vertical="center" wrapText="1"/>
    </xf>
    <xf numFmtId="3" fontId="13" fillId="10" borderId="12" xfId="0" applyNumberFormat="1" applyFont="1" applyFill="1" applyBorder="1" applyAlignment="1">
      <alignment vertical="center" wrapText="1"/>
    </xf>
    <xf numFmtId="3" fontId="2" fillId="10" borderId="19" xfId="0" applyNumberFormat="1" applyFont="1" applyFill="1" applyBorder="1" applyAlignment="1">
      <alignment vertical="center" wrapText="1"/>
    </xf>
    <xf numFmtId="3" fontId="4" fillId="10" borderId="18" xfId="0" applyNumberFormat="1" applyFont="1" applyFill="1" applyBorder="1" applyAlignment="1">
      <alignment vertical="center"/>
    </xf>
    <xf numFmtId="3" fontId="2" fillId="10" borderId="19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 wrapText="1"/>
    </xf>
    <xf numFmtId="3" fontId="4" fillId="10" borderId="19" xfId="0" applyNumberFormat="1" applyFont="1" applyFill="1" applyBorder="1" applyAlignment="1">
      <alignment vertical="center" wrapText="1"/>
    </xf>
    <xf numFmtId="3" fontId="4" fillId="10" borderId="20" xfId="0" applyNumberFormat="1" applyFont="1" applyFill="1" applyBorder="1" applyAlignment="1">
      <alignment vertical="center"/>
    </xf>
    <xf numFmtId="3" fontId="4" fillId="10" borderId="11" xfId="0" applyNumberFormat="1" applyFont="1" applyFill="1" applyBorder="1" applyAlignment="1">
      <alignment vertical="center"/>
    </xf>
    <xf numFmtId="16" fontId="2" fillId="34" borderId="22" xfId="0" applyNumberFormat="1" applyFont="1" applyFill="1" applyBorder="1" applyAlignment="1">
      <alignment horizontal="left" vertical="center" wrapText="1"/>
    </xf>
    <xf numFmtId="16" fontId="2" fillId="34" borderId="23" xfId="0" applyNumberFormat="1" applyFont="1" applyFill="1" applyBorder="1" applyAlignment="1">
      <alignment horizontal="left" vertical="center" wrapText="1"/>
    </xf>
    <xf numFmtId="16" fontId="4" fillId="34" borderId="22" xfId="0" applyNumberFormat="1" applyFont="1" applyFill="1" applyBorder="1" applyAlignment="1">
      <alignment horizontal="left" vertical="center" wrapText="1"/>
    </xf>
    <xf numFmtId="3" fontId="8" fillId="33" borderId="11" xfId="0" applyNumberFormat="1" applyFont="1" applyFill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 wrapText="1"/>
    </xf>
    <xf numFmtId="3" fontId="2" fillId="34" borderId="16" xfId="0" applyNumberFormat="1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vertical="center"/>
    </xf>
    <xf numFmtId="3" fontId="8" fillId="33" borderId="20" xfId="0" applyNumberFormat="1" applyFont="1" applyFill="1" applyBorder="1" applyAlignment="1">
      <alignment vertical="center"/>
    </xf>
    <xf numFmtId="16" fontId="4" fillId="10" borderId="24" xfId="0" applyNumberFormat="1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vertical="center" wrapText="1"/>
    </xf>
    <xf numFmtId="3" fontId="13" fillId="34" borderId="14" xfId="0" applyNumberFormat="1" applyFont="1" applyFill="1" applyBorder="1" applyAlignment="1">
      <alignment vertical="center" wrapText="1"/>
    </xf>
    <xf numFmtId="3" fontId="13" fillId="34" borderId="17" xfId="0" applyNumberFormat="1" applyFont="1" applyFill="1" applyBorder="1" applyAlignment="1">
      <alignment vertical="center" wrapText="1"/>
    </xf>
    <xf numFmtId="3" fontId="13" fillId="34" borderId="19" xfId="0" applyNumberFormat="1" applyFont="1" applyFill="1" applyBorder="1" applyAlignment="1">
      <alignment vertical="center" wrapText="1"/>
    </xf>
    <xf numFmtId="3" fontId="4" fillId="34" borderId="16" xfId="0" applyNumberFormat="1" applyFont="1" applyFill="1" applyBorder="1" applyAlignment="1">
      <alignment vertical="center" wrapText="1"/>
    </xf>
    <xf numFmtId="3" fontId="4" fillId="10" borderId="11" xfId="0" applyNumberFormat="1" applyFont="1" applyFill="1" applyBorder="1" applyAlignment="1">
      <alignment horizontal="right" vertical="center" wrapText="1"/>
    </xf>
    <xf numFmtId="3" fontId="4" fillId="10" borderId="25" xfId="0" applyNumberFormat="1" applyFont="1" applyFill="1" applyBorder="1" applyAlignment="1">
      <alignment vertical="center"/>
    </xf>
    <xf numFmtId="3" fontId="4" fillId="10" borderId="26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vertical="center"/>
    </xf>
    <xf numFmtId="3" fontId="2" fillId="34" borderId="29" xfId="0" applyNumberFormat="1" applyFont="1" applyFill="1" applyBorder="1" applyAlignment="1">
      <alignment vertical="center"/>
    </xf>
    <xf numFmtId="3" fontId="4" fillId="34" borderId="28" xfId="0" applyNumberFormat="1" applyFont="1" applyFill="1" applyBorder="1" applyAlignment="1">
      <alignment vertical="center"/>
    </xf>
    <xf numFmtId="3" fontId="4" fillId="34" borderId="29" xfId="0" applyNumberFormat="1" applyFont="1" applyFill="1" applyBorder="1" applyAlignment="1">
      <alignment vertical="center"/>
    </xf>
    <xf numFmtId="3" fontId="2" fillId="34" borderId="27" xfId="0" applyNumberFormat="1" applyFont="1" applyFill="1" applyBorder="1" applyAlignment="1">
      <alignment vertical="center"/>
    </xf>
    <xf numFmtId="3" fontId="2" fillId="34" borderId="30" xfId="0" applyNumberFormat="1" applyFont="1" applyFill="1" applyBorder="1" applyAlignment="1">
      <alignment vertical="center"/>
    </xf>
    <xf numFmtId="3" fontId="4" fillId="10" borderId="28" xfId="0" applyNumberFormat="1" applyFont="1" applyFill="1" applyBorder="1" applyAlignment="1">
      <alignment vertical="center"/>
    </xf>
    <xf numFmtId="3" fontId="4" fillId="10" borderId="29" xfId="0" applyNumberFormat="1" applyFont="1" applyFill="1" applyBorder="1" applyAlignment="1">
      <alignment vertical="center"/>
    </xf>
    <xf numFmtId="3" fontId="2" fillId="10" borderId="28" xfId="0" applyNumberFormat="1" applyFont="1" applyFill="1" applyBorder="1" applyAlignment="1">
      <alignment vertical="center"/>
    </xf>
    <xf numFmtId="3" fontId="2" fillId="10" borderId="29" xfId="0" applyNumberFormat="1" applyFont="1" applyFill="1" applyBorder="1" applyAlignment="1">
      <alignment vertical="center"/>
    </xf>
    <xf numFmtId="3" fontId="4" fillId="10" borderId="31" xfId="0" applyNumberFormat="1" applyFont="1" applyFill="1" applyBorder="1" applyAlignment="1">
      <alignment vertical="center"/>
    </xf>
    <xf numFmtId="3" fontId="4" fillId="10" borderId="32" xfId="0" applyNumberFormat="1" applyFont="1" applyFill="1" applyBorder="1" applyAlignment="1">
      <alignment vertical="center"/>
    </xf>
    <xf numFmtId="3" fontId="8" fillId="33" borderId="28" xfId="0" applyNumberFormat="1" applyFont="1" applyFill="1" applyBorder="1" applyAlignment="1">
      <alignment vertical="center"/>
    </xf>
    <xf numFmtId="3" fontId="12" fillId="33" borderId="29" xfId="0" applyNumberFormat="1" applyFont="1" applyFill="1" applyBorder="1" applyAlignment="1">
      <alignment vertical="center"/>
    </xf>
    <xf numFmtId="3" fontId="2" fillId="34" borderId="33" xfId="0" applyNumberFormat="1" applyFont="1" applyFill="1" applyBorder="1" applyAlignment="1">
      <alignment vertical="center"/>
    </xf>
    <xf numFmtId="3" fontId="2" fillId="34" borderId="34" xfId="0" applyNumberFormat="1" applyFont="1" applyFill="1" applyBorder="1" applyAlignment="1">
      <alignment vertical="center"/>
    </xf>
    <xf numFmtId="3" fontId="4" fillId="10" borderId="25" xfId="0" applyNumberFormat="1" applyFont="1" applyFill="1" applyBorder="1" applyAlignment="1">
      <alignment vertical="center" wrapText="1"/>
    </xf>
    <xf numFmtId="3" fontId="4" fillId="10" borderId="26" xfId="0" applyNumberFormat="1" applyFont="1" applyFill="1" applyBorder="1" applyAlignment="1">
      <alignment vertical="center" wrapText="1"/>
    </xf>
    <xf numFmtId="3" fontId="4" fillId="10" borderId="33" xfId="0" applyNumberFormat="1" applyFont="1" applyFill="1" applyBorder="1" applyAlignment="1">
      <alignment vertical="center"/>
    </xf>
    <xf numFmtId="3" fontId="2" fillId="10" borderId="34" xfId="0" applyNumberFormat="1" applyFont="1" applyFill="1" applyBorder="1" applyAlignment="1">
      <alignment vertical="center"/>
    </xf>
    <xf numFmtId="3" fontId="2" fillId="10" borderId="33" xfId="0" applyNumberFormat="1" applyFont="1" applyFill="1" applyBorder="1" applyAlignment="1">
      <alignment vertical="center"/>
    </xf>
    <xf numFmtId="3" fontId="2" fillId="34" borderId="28" xfId="0" applyNumberFormat="1" applyFont="1" applyFill="1" applyBorder="1" applyAlignment="1">
      <alignment vertical="center" wrapText="1"/>
    </xf>
    <xf numFmtId="3" fontId="8" fillId="33" borderId="25" xfId="0" applyNumberFormat="1" applyFont="1" applyFill="1" applyBorder="1" applyAlignment="1">
      <alignment vertical="center" wrapText="1"/>
    </xf>
    <xf numFmtId="3" fontId="8" fillId="33" borderId="26" xfId="0" applyNumberFormat="1" applyFont="1" applyFill="1" applyBorder="1" applyAlignment="1">
      <alignment vertical="center" wrapText="1"/>
    </xf>
    <xf numFmtId="3" fontId="2" fillId="34" borderId="27" xfId="0" applyNumberFormat="1" applyFont="1" applyFill="1" applyBorder="1" applyAlignment="1">
      <alignment vertical="center" wrapText="1"/>
    </xf>
    <xf numFmtId="3" fontId="4" fillId="34" borderId="33" xfId="0" applyNumberFormat="1" applyFont="1" applyFill="1" applyBorder="1" applyAlignment="1">
      <alignment vertical="center"/>
    </xf>
    <xf numFmtId="3" fontId="4" fillId="34" borderId="34" xfId="0" applyNumberFormat="1" applyFont="1" applyFill="1" applyBorder="1" applyAlignment="1">
      <alignment vertical="center"/>
    </xf>
    <xf numFmtId="3" fontId="2" fillId="34" borderId="31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vertical="center"/>
    </xf>
    <xf numFmtId="3" fontId="8" fillId="33" borderId="26" xfId="0" applyNumberFormat="1" applyFont="1" applyFill="1" applyBorder="1" applyAlignment="1">
      <alignment vertical="center"/>
    </xf>
    <xf numFmtId="3" fontId="2" fillId="34" borderId="35" xfId="0" applyNumberFormat="1" applyFont="1" applyFill="1" applyBorder="1" applyAlignment="1">
      <alignment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37" xfId="0" applyNumberFormat="1" applyFont="1" applyFill="1" applyBorder="1" applyAlignment="1">
      <alignment vertical="center"/>
    </xf>
    <xf numFmtId="3" fontId="6" fillId="34" borderId="38" xfId="0" applyNumberFormat="1" applyFont="1" applyFill="1" applyBorder="1" applyAlignment="1">
      <alignment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vertical="center" wrapText="1"/>
    </xf>
    <xf numFmtId="3" fontId="12" fillId="33" borderId="20" xfId="0" applyNumberFormat="1" applyFont="1" applyFill="1" applyBorder="1" applyAlignment="1">
      <alignment vertical="center"/>
    </xf>
    <xf numFmtId="3" fontId="4" fillId="10" borderId="3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12" fillId="33" borderId="28" xfId="0" applyNumberFormat="1" applyFont="1" applyFill="1" applyBorder="1" applyAlignment="1">
      <alignment vertical="center"/>
    </xf>
    <xf numFmtId="3" fontId="15" fillId="34" borderId="27" xfId="0" applyNumberFormat="1" applyFont="1" applyFill="1" applyBorder="1" applyAlignment="1">
      <alignment vertical="center"/>
    </xf>
    <xf numFmtId="3" fontId="15" fillId="34" borderId="28" xfId="0" applyNumberFormat="1" applyFont="1" applyFill="1" applyBorder="1" applyAlignment="1">
      <alignment vertical="center"/>
    </xf>
    <xf numFmtId="3" fontId="8" fillId="33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2" fillId="34" borderId="42" xfId="0" applyNumberFormat="1" applyFont="1" applyFill="1" applyBorder="1" applyAlignment="1">
      <alignment vertical="center"/>
    </xf>
    <xf numFmtId="3" fontId="2" fillId="34" borderId="43" xfId="0" applyNumberFormat="1" applyFont="1" applyFill="1" applyBorder="1" applyAlignment="1">
      <alignment vertical="center"/>
    </xf>
    <xf numFmtId="3" fontId="4" fillId="10" borderId="42" xfId="0" applyNumberFormat="1" applyFont="1" applyFill="1" applyBorder="1" applyAlignment="1">
      <alignment vertical="center"/>
    </xf>
    <xf numFmtId="3" fontId="4" fillId="10" borderId="44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3" fontId="5" fillId="7" borderId="45" xfId="0" applyNumberFormat="1" applyFont="1" applyFill="1" applyBorder="1" applyAlignment="1">
      <alignment vertical="center"/>
    </xf>
    <xf numFmtId="3" fontId="5" fillId="34" borderId="0" xfId="0" applyNumberFormat="1" applyFont="1" applyFill="1" applyAlignment="1">
      <alignment vertical="center"/>
    </xf>
    <xf numFmtId="3" fontId="5" fillId="7" borderId="17" xfId="0" applyNumberFormat="1" applyFont="1" applyFill="1" applyBorder="1" applyAlignment="1">
      <alignment vertical="center"/>
    </xf>
    <xf numFmtId="3" fontId="5" fillId="7" borderId="46" xfId="0" applyNumberFormat="1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Border="1" applyAlignment="1">
      <alignment vertical="center"/>
    </xf>
    <xf numFmtId="3" fontId="7" fillId="34" borderId="47" xfId="0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3" fontId="8" fillId="35" borderId="20" xfId="0" applyNumberFormat="1" applyFont="1" applyFill="1" applyBorder="1" applyAlignment="1">
      <alignment horizontal="left" vertical="center"/>
    </xf>
    <xf numFmtId="3" fontId="8" fillId="35" borderId="11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Alignment="1">
      <alignment vertical="center"/>
    </xf>
    <xf numFmtId="0" fontId="4" fillId="10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vertical="center" wrapText="1"/>
    </xf>
    <xf numFmtId="0" fontId="4" fillId="10" borderId="22" xfId="0" applyFont="1" applyFill="1" applyBorder="1" applyAlignment="1">
      <alignment vertical="center" wrapText="1"/>
    </xf>
    <xf numFmtId="0" fontId="11" fillId="10" borderId="22" xfId="0" applyFont="1" applyFill="1" applyBorder="1" applyAlignment="1">
      <alignment vertical="center" wrapText="1"/>
    </xf>
    <xf numFmtId="0" fontId="4" fillId="10" borderId="48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3" fontId="8" fillId="33" borderId="25" xfId="0" applyNumberFormat="1" applyFont="1" applyFill="1" applyBorder="1" applyAlignment="1">
      <alignment horizontal="right" vertical="center" wrapText="1"/>
    </xf>
    <xf numFmtId="3" fontId="8" fillId="33" borderId="26" xfId="0" applyNumberFormat="1" applyFont="1" applyFill="1" applyBorder="1" applyAlignment="1">
      <alignment horizontal="right" vertical="center" wrapText="1"/>
    </xf>
    <xf numFmtId="3" fontId="8" fillId="33" borderId="40" xfId="0" applyNumberFormat="1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vertical="center" wrapText="1"/>
    </xf>
    <xf numFmtId="0" fontId="12" fillId="34" borderId="0" xfId="0" applyFont="1" applyFill="1" applyAlignment="1">
      <alignment vertical="center"/>
    </xf>
    <xf numFmtId="3" fontId="4" fillId="10" borderId="25" xfId="0" applyNumberFormat="1" applyFont="1" applyFill="1" applyBorder="1" applyAlignment="1">
      <alignment horizontal="right" vertical="center" wrapText="1"/>
    </xf>
    <xf numFmtId="3" fontId="4" fillId="10" borderId="26" xfId="0" applyNumberFormat="1" applyFont="1" applyFill="1" applyBorder="1" applyAlignment="1">
      <alignment horizontal="right" vertical="center" wrapText="1"/>
    </xf>
    <xf numFmtId="0" fontId="2" fillId="34" borderId="49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 wrapText="1"/>
    </xf>
    <xf numFmtId="0" fontId="13" fillId="34" borderId="22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14" fillId="10" borderId="22" xfId="0" applyFont="1" applyFill="1" applyBorder="1" applyAlignment="1">
      <alignment vertical="center" wrapText="1"/>
    </xf>
    <xf numFmtId="0" fontId="4" fillId="10" borderId="24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25" xfId="0" applyNumberFormat="1" applyFont="1" applyFill="1" applyBorder="1" applyAlignment="1">
      <alignment horizontal="right" vertical="center"/>
    </xf>
    <xf numFmtId="3" fontId="8" fillId="33" borderId="26" xfId="0" applyNumberFormat="1" applyFont="1" applyFill="1" applyBorder="1" applyAlignment="1">
      <alignment horizontal="right" vertical="center"/>
    </xf>
    <xf numFmtId="0" fontId="4" fillId="34" borderId="50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vertical="center" wrapText="1"/>
    </xf>
    <xf numFmtId="3" fontId="4" fillId="10" borderId="20" xfId="0" applyNumberFormat="1" applyFont="1" applyFill="1" applyBorder="1" applyAlignment="1">
      <alignment horizontal="right" vertical="center" wrapText="1"/>
    </xf>
    <xf numFmtId="0" fontId="4" fillId="10" borderId="10" xfId="0" applyFont="1" applyFill="1" applyBorder="1" applyAlignment="1">
      <alignment vertical="center" wrapText="1"/>
    </xf>
    <xf numFmtId="0" fontId="4" fillId="34" borderId="48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4" fillId="10" borderId="23" xfId="0" applyFont="1" applyFill="1" applyBorder="1" applyAlignment="1">
      <alignment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25" xfId="0" applyNumberFormat="1" applyFont="1" applyFill="1" applyBorder="1" applyAlignment="1">
      <alignment horizontal="right" vertical="center" wrapText="1"/>
    </xf>
    <xf numFmtId="3" fontId="4" fillId="34" borderId="26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0" fontId="13" fillId="34" borderId="23" xfId="0" applyFont="1" applyFill="1" applyBorder="1" applyAlignment="1">
      <alignment vertical="center" wrapText="1"/>
    </xf>
    <xf numFmtId="0" fontId="13" fillId="34" borderId="24" xfId="0" applyFont="1" applyFill="1" applyBorder="1" applyAlignment="1">
      <alignment vertical="center" wrapText="1"/>
    </xf>
    <xf numFmtId="0" fontId="4" fillId="34" borderId="48" xfId="0" applyFont="1" applyFill="1" applyBorder="1" applyAlignment="1">
      <alignment horizontal="left" vertical="center" wrapText="1"/>
    </xf>
    <xf numFmtId="0" fontId="5" fillId="10" borderId="38" xfId="0" applyFont="1" applyFill="1" applyBorder="1" applyAlignment="1">
      <alignment horizontal="center" vertical="center"/>
    </xf>
    <xf numFmtId="3" fontId="5" fillId="10" borderId="11" xfId="0" applyNumberFormat="1" applyFont="1" applyFill="1" applyBorder="1" applyAlignment="1">
      <alignment horizontal="right" vertical="center"/>
    </xf>
    <xf numFmtId="3" fontId="5" fillId="10" borderId="25" xfId="0" applyNumberFormat="1" applyFont="1" applyFill="1" applyBorder="1" applyAlignment="1">
      <alignment horizontal="right" vertical="center"/>
    </xf>
    <xf numFmtId="3" fontId="5" fillId="10" borderId="26" xfId="0" applyNumberFormat="1" applyFont="1" applyFill="1" applyBorder="1" applyAlignment="1">
      <alignment horizontal="right" vertical="center"/>
    </xf>
    <xf numFmtId="3" fontId="5" fillId="10" borderId="39" xfId="0" applyNumberFormat="1" applyFont="1" applyFill="1" applyBorder="1" applyAlignment="1">
      <alignment horizontal="right" vertical="center"/>
    </xf>
    <xf numFmtId="0" fontId="16" fillId="34" borderId="0" xfId="0" applyFont="1" applyFill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3" fontId="2" fillId="10" borderId="20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3" fontId="1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3" fontId="2" fillId="2" borderId="57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0" fontId="8" fillId="2" borderId="58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29" xfId="0" applyNumberFormat="1" applyFont="1" applyFill="1" applyBorder="1" applyAlignment="1">
      <alignment vertical="center"/>
    </xf>
    <xf numFmtId="0" fontId="3" fillId="34" borderId="20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horizontal="right" vertical="center" wrapText="1"/>
    </xf>
    <xf numFmtId="0" fontId="8" fillId="2" borderId="56" xfId="0" applyFont="1" applyFill="1" applyBorder="1" applyAlignment="1">
      <alignment vertical="center"/>
    </xf>
    <xf numFmtId="0" fontId="11" fillId="36" borderId="59" xfId="0" applyFont="1" applyFill="1" applyBorder="1" applyAlignment="1">
      <alignment horizontal="center" vertical="center" wrapText="1"/>
    </xf>
    <xf numFmtId="3" fontId="2" fillId="36" borderId="49" xfId="0" applyNumberFormat="1" applyFont="1" applyFill="1" applyBorder="1" applyAlignment="1">
      <alignment vertical="center"/>
    </xf>
    <xf numFmtId="3" fontId="2" fillId="36" borderId="29" xfId="0" applyNumberFormat="1" applyFont="1" applyFill="1" applyBorder="1" applyAlignment="1">
      <alignment vertical="center"/>
    </xf>
    <xf numFmtId="3" fontId="4" fillId="36" borderId="49" xfId="0" applyNumberFormat="1" applyFont="1" applyFill="1" applyBorder="1" applyAlignment="1">
      <alignment vertical="center"/>
    </xf>
    <xf numFmtId="3" fontId="4" fillId="36" borderId="29" xfId="0" applyNumberFormat="1" applyFont="1" applyFill="1" applyBorder="1" applyAlignment="1">
      <alignment vertical="center"/>
    </xf>
    <xf numFmtId="3" fontId="4" fillId="36" borderId="60" xfId="0" applyNumberFormat="1" applyFont="1" applyFill="1" applyBorder="1" applyAlignment="1">
      <alignment vertical="center"/>
    </xf>
    <xf numFmtId="3" fontId="4" fillId="36" borderId="34" xfId="0" applyNumberFormat="1" applyFont="1" applyFill="1" applyBorder="1" applyAlignment="1">
      <alignment vertical="center"/>
    </xf>
    <xf numFmtId="3" fontId="8" fillId="36" borderId="59" xfId="0" applyNumberFormat="1" applyFont="1" applyFill="1" applyBorder="1" applyAlignment="1">
      <alignment horizontal="right" vertical="center" wrapText="1"/>
    </xf>
    <xf numFmtId="3" fontId="8" fillId="36" borderId="26" xfId="0" applyNumberFormat="1" applyFont="1" applyFill="1" applyBorder="1" applyAlignment="1">
      <alignment horizontal="right" vertical="center" wrapText="1"/>
    </xf>
    <xf numFmtId="3" fontId="12" fillId="36" borderId="49" xfId="0" applyNumberFormat="1" applyFont="1" applyFill="1" applyBorder="1" applyAlignment="1">
      <alignment vertical="center"/>
    </xf>
    <xf numFmtId="3" fontId="12" fillId="36" borderId="26" xfId="0" applyNumberFormat="1" applyFont="1" applyFill="1" applyBorder="1" applyAlignment="1">
      <alignment vertical="center"/>
    </xf>
    <xf numFmtId="3" fontId="4" fillId="36" borderId="59" xfId="0" applyNumberFormat="1" applyFont="1" applyFill="1" applyBorder="1" applyAlignment="1">
      <alignment horizontal="right" vertical="center" wrapText="1"/>
    </xf>
    <xf numFmtId="3" fontId="4" fillId="36" borderId="26" xfId="0" applyNumberFormat="1" applyFont="1" applyFill="1" applyBorder="1" applyAlignment="1">
      <alignment horizontal="right" vertical="center" wrapText="1"/>
    </xf>
    <xf numFmtId="3" fontId="2" fillId="36" borderId="53" xfId="0" applyNumberFormat="1" applyFont="1" applyFill="1" applyBorder="1" applyAlignment="1">
      <alignment vertical="center"/>
    </xf>
    <xf numFmtId="0" fontId="2" fillId="36" borderId="49" xfId="0" applyFont="1" applyFill="1" applyBorder="1" applyAlignment="1">
      <alignment vertical="center"/>
    </xf>
    <xf numFmtId="0" fontId="2" fillId="36" borderId="29" xfId="0" applyFont="1" applyFill="1" applyBorder="1" applyAlignment="1">
      <alignment vertical="center"/>
    </xf>
    <xf numFmtId="3" fontId="2" fillId="36" borderId="61" xfId="0" applyNumberFormat="1" applyFont="1" applyFill="1" applyBorder="1" applyAlignment="1">
      <alignment vertical="center"/>
    </xf>
    <xf numFmtId="3" fontId="4" fillId="36" borderId="59" xfId="0" applyNumberFormat="1" applyFont="1" applyFill="1" applyBorder="1" applyAlignment="1">
      <alignment vertical="center" wrapText="1"/>
    </xf>
    <xf numFmtId="3" fontId="4" fillId="36" borderId="26" xfId="0" applyNumberFormat="1" applyFont="1" applyFill="1" applyBorder="1" applyAlignment="1">
      <alignment vertical="center" wrapText="1"/>
    </xf>
    <xf numFmtId="3" fontId="2" fillId="36" borderId="30" xfId="0" applyNumberFormat="1" applyFont="1" applyFill="1" applyBorder="1" applyAlignment="1">
      <alignment vertical="center"/>
    </xf>
    <xf numFmtId="3" fontId="2" fillId="36" borderId="34" xfId="0" applyNumberFormat="1" applyFont="1" applyFill="1" applyBorder="1" applyAlignment="1">
      <alignment vertical="center"/>
    </xf>
    <xf numFmtId="3" fontId="8" fillId="36" borderId="59" xfId="0" applyNumberFormat="1" applyFont="1" applyFill="1" applyBorder="1" applyAlignment="1">
      <alignment horizontal="right" vertical="center"/>
    </xf>
    <xf numFmtId="3" fontId="8" fillId="36" borderId="26" xfId="0" applyNumberFormat="1" applyFont="1" applyFill="1" applyBorder="1" applyAlignment="1">
      <alignment horizontal="right" vertical="center"/>
    </xf>
    <xf numFmtId="3" fontId="8" fillId="37" borderId="26" xfId="0" applyNumberFormat="1" applyFont="1" applyFill="1" applyBorder="1" applyAlignment="1">
      <alignment horizontal="right" vertical="center"/>
    </xf>
    <xf numFmtId="3" fontId="8" fillId="37" borderId="26" xfId="0" applyNumberFormat="1" applyFont="1" applyFill="1" applyBorder="1" applyAlignment="1">
      <alignment horizontal="right" vertical="center" wrapText="1"/>
    </xf>
    <xf numFmtId="3" fontId="2" fillId="38" borderId="61" xfId="0" applyNumberFormat="1" applyFont="1" applyFill="1" applyBorder="1" applyAlignment="1">
      <alignment vertical="center"/>
    </xf>
    <xf numFmtId="0" fontId="11" fillId="38" borderId="59" xfId="0" applyFont="1" applyFill="1" applyBorder="1" applyAlignment="1">
      <alignment horizontal="center" vertical="center" wrapText="1"/>
    </xf>
    <xf numFmtId="3" fontId="2" fillId="38" borderId="53" xfId="0" applyNumberFormat="1" applyFont="1" applyFill="1" applyBorder="1" applyAlignment="1">
      <alignment vertical="center"/>
    </xf>
    <xf numFmtId="3" fontId="2" fillId="38" borderId="30" xfId="0" applyNumberFormat="1" applyFont="1" applyFill="1" applyBorder="1" applyAlignment="1">
      <alignment vertical="center"/>
    </xf>
    <xf numFmtId="3" fontId="2" fillId="38" borderId="49" xfId="0" applyNumberFormat="1" applyFont="1" applyFill="1" applyBorder="1" applyAlignment="1">
      <alignment vertical="center"/>
    </xf>
    <xf numFmtId="3" fontId="2" fillId="38" borderId="29" xfId="0" applyNumberFormat="1" applyFont="1" applyFill="1" applyBorder="1" applyAlignment="1">
      <alignment vertical="center"/>
    </xf>
    <xf numFmtId="3" fontId="2" fillId="38" borderId="34" xfId="0" applyNumberFormat="1" applyFont="1" applyFill="1" applyBorder="1" applyAlignment="1">
      <alignment vertical="center"/>
    </xf>
    <xf numFmtId="3" fontId="4" fillId="38" borderId="59" xfId="0" applyNumberFormat="1" applyFont="1" applyFill="1" applyBorder="1" applyAlignment="1">
      <alignment vertical="center"/>
    </xf>
    <xf numFmtId="3" fontId="4" fillId="38" borderId="26" xfId="0" applyNumberFormat="1" applyFont="1" applyFill="1" applyBorder="1" applyAlignment="1">
      <alignment vertical="center"/>
    </xf>
    <xf numFmtId="0" fontId="2" fillId="38" borderId="49" xfId="0" applyFont="1" applyFill="1" applyBorder="1" applyAlignment="1">
      <alignment vertical="center"/>
    </xf>
    <xf numFmtId="0" fontId="2" fillId="38" borderId="29" xfId="0" applyFont="1" applyFill="1" applyBorder="1" applyAlignment="1">
      <alignment vertical="center"/>
    </xf>
    <xf numFmtId="3" fontId="4" fillId="38" borderId="59" xfId="0" applyNumberFormat="1" applyFont="1" applyFill="1" applyBorder="1" applyAlignment="1">
      <alignment horizontal="right" vertical="center" wrapText="1"/>
    </xf>
    <xf numFmtId="3" fontId="4" fillId="38" borderId="26" xfId="0" applyNumberFormat="1" applyFont="1" applyFill="1" applyBorder="1" applyAlignment="1">
      <alignment horizontal="right" vertical="center" wrapText="1"/>
    </xf>
    <xf numFmtId="3" fontId="8" fillId="38" borderId="59" xfId="0" applyNumberFormat="1" applyFont="1" applyFill="1" applyBorder="1" applyAlignment="1">
      <alignment vertical="center" wrapText="1"/>
    </xf>
    <xf numFmtId="3" fontId="8" fillId="38" borderId="26" xfId="0" applyNumberFormat="1" applyFont="1" applyFill="1" applyBorder="1" applyAlignment="1">
      <alignment vertical="center" wrapText="1"/>
    </xf>
    <xf numFmtId="3" fontId="4" fillId="38" borderId="59" xfId="0" applyNumberFormat="1" applyFont="1" applyFill="1" applyBorder="1" applyAlignment="1">
      <alignment vertical="center" wrapText="1"/>
    </xf>
    <xf numFmtId="3" fontId="4" fillId="38" borderId="26" xfId="0" applyNumberFormat="1" applyFont="1" applyFill="1" applyBorder="1" applyAlignment="1">
      <alignment vertical="center" wrapText="1"/>
    </xf>
    <xf numFmtId="3" fontId="4" fillId="38" borderId="53" xfId="0" applyNumberFormat="1" applyFont="1" applyFill="1" applyBorder="1" applyAlignment="1">
      <alignment vertical="center"/>
    </xf>
    <xf numFmtId="3" fontId="4" fillId="38" borderId="49" xfId="0" applyNumberFormat="1" applyFont="1" applyFill="1" applyBorder="1" applyAlignment="1">
      <alignment vertical="center"/>
    </xf>
    <xf numFmtId="3" fontId="4" fillId="38" borderId="61" xfId="0" applyNumberFormat="1" applyFont="1" applyFill="1" applyBorder="1" applyAlignment="1">
      <alignment vertical="center"/>
    </xf>
    <xf numFmtId="3" fontId="8" fillId="38" borderId="59" xfId="0" applyNumberFormat="1" applyFont="1" applyFill="1" applyBorder="1" applyAlignment="1">
      <alignment vertical="center"/>
    </xf>
    <xf numFmtId="3" fontId="8" fillId="38" borderId="26" xfId="0" applyNumberFormat="1" applyFont="1" applyFill="1" applyBorder="1" applyAlignment="1">
      <alignment vertical="center"/>
    </xf>
    <xf numFmtId="3" fontId="2" fillId="38" borderId="62" xfId="0" applyNumberFormat="1" applyFont="1" applyFill="1" applyBorder="1" applyAlignment="1">
      <alignment vertical="center"/>
    </xf>
    <xf numFmtId="3" fontId="2" fillId="38" borderId="36" xfId="0" applyNumberFormat="1" applyFont="1" applyFill="1" applyBorder="1" applyAlignment="1">
      <alignment vertical="center"/>
    </xf>
    <xf numFmtId="0" fontId="2" fillId="38" borderId="53" xfId="0" applyFont="1" applyFill="1" applyBorder="1" applyAlignment="1">
      <alignment vertical="center"/>
    </xf>
    <xf numFmtId="0" fontId="2" fillId="38" borderId="30" xfId="0" applyFont="1" applyFill="1" applyBorder="1" applyAlignment="1">
      <alignment vertical="center"/>
    </xf>
    <xf numFmtId="3" fontId="5" fillId="38" borderId="59" xfId="0" applyNumberFormat="1" applyFont="1" applyFill="1" applyBorder="1" applyAlignment="1">
      <alignment horizontal="right" vertical="center"/>
    </xf>
    <xf numFmtId="3" fontId="5" fillId="38" borderId="26" xfId="0" applyNumberFormat="1" applyFont="1" applyFill="1" applyBorder="1" applyAlignment="1">
      <alignment horizontal="right" vertical="center"/>
    </xf>
    <xf numFmtId="0" fontId="21" fillId="2" borderId="54" xfId="0" applyFont="1" applyFill="1" applyBorder="1" applyAlignment="1">
      <alignment horizontal="left" vertical="center"/>
    </xf>
    <xf numFmtId="0" fontId="21" fillId="2" borderId="63" xfId="0" applyFont="1" applyFill="1" applyBorder="1" applyAlignment="1">
      <alignment horizontal="left" vertical="center" wrapText="1"/>
    </xf>
    <xf numFmtId="0" fontId="21" fillId="2" borderId="63" xfId="0" applyFont="1" applyFill="1" applyBorder="1" applyAlignment="1">
      <alignment horizontal="left" vertical="center"/>
    </xf>
    <xf numFmtId="0" fontId="20" fillId="2" borderId="64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left" vertical="center" wrapText="1"/>
    </xf>
    <xf numFmtId="3" fontId="8" fillId="2" borderId="16" xfId="0" applyNumberFormat="1" applyFont="1" applyFill="1" applyBorder="1" applyAlignment="1">
      <alignment vertical="center"/>
    </xf>
    <xf numFmtId="3" fontId="8" fillId="2" borderId="31" xfId="0" applyNumberFormat="1" applyFont="1" applyFill="1" applyBorder="1" applyAlignment="1">
      <alignment vertical="center"/>
    </xf>
    <xf numFmtId="3" fontId="8" fillId="2" borderId="32" xfId="0" applyNumberFormat="1" applyFont="1" applyFill="1" applyBorder="1" applyAlignment="1">
      <alignment vertical="center"/>
    </xf>
    <xf numFmtId="3" fontId="8" fillId="2" borderId="60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65" xfId="0" applyNumberFormat="1" applyFont="1" applyFill="1" applyBorder="1" applyAlignment="1">
      <alignment horizontal="right" vertical="center"/>
    </xf>
    <xf numFmtId="3" fontId="8" fillId="2" borderId="46" xfId="0" applyNumberFormat="1" applyFont="1" applyFill="1" applyBorder="1" applyAlignment="1">
      <alignment horizontal="right" vertical="center"/>
    </xf>
    <xf numFmtId="3" fontId="23" fillId="39" borderId="55" xfId="0" applyNumberFormat="1" applyFont="1" applyFill="1" applyBorder="1" applyAlignment="1">
      <alignment vertical="center" wrapText="1"/>
    </xf>
    <xf numFmtId="3" fontId="6" fillId="39" borderId="31" xfId="0" applyNumberFormat="1" applyFont="1" applyFill="1" applyBorder="1" applyAlignment="1">
      <alignment vertical="center"/>
    </xf>
    <xf numFmtId="3" fontId="6" fillId="39" borderId="66" xfId="0" applyNumberFormat="1" applyFont="1" applyFill="1" applyBorder="1" applyAlignment="1">
      <alignment vertical="center"/>
    </xf>
    <xf numFmtId="3" fontId="6" fillId="36" borderId="44" xfId="0" applyNumberFormat="1" applyFont="1" applyFill="1" applyBorder="1" applyAlignment="1">
      <alignment vertical="center"/>
    </xf>
    <xf numFmtId="3" fontId="6" fillId="36" borderId="66" xfId="0" applyNumberFormat="1" applyFont="1" applyFill="1" applyBorder="1" applyAlignment="1">
      <alignment vertical="center"/>
    </xf>
    <xf numFmtId="3" fontId="6" fillId="39" borderId="46" xfId="0" applyNumberFormat="1" applyFont="1" applyFill="1" applyBorder="1" applyAlignment="1">
      <alignment vertical="center"/>
    </xf>
    <xf numFmtId="3" fontId="22" fillId="39" borderId="46" xfId="0" applyNumberFormat="1" applyFont="1" applyFill="1" applyBorder="1" applyAlignment="1">
      <alignment vertical="center"/>
    </xf>
    <xf numFmtId="0" fontId="11" fillId="34" borderId="22" xfId="0" applyFont="1" applyFill="1" applyBorder="1" applyAlignment="1">
      <alignment horizontal="left"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3" fontId="11" fillId="34" borderId="42" xfId="0" applyNumberFormat="1" applyFont="1" applyFill="1" applyBorder="1" applyAlignment="1">
      <alignment vertical="center"/>
    </xf>
    <xf numFmtId="3" fontId="11" fillId="36" borderId="49" xfId="0" applyNumberFormat="1" applyFont="1" applyFill="1" applyBorder="1" applyAlignment="1">
      <alignment vertical="center"/>
    </xf>
    <xf numFmtId="3" fontId="11" fillId="36" borderId="29" xfId="0" applyNumberFormat="1" applyFont="1" applyFill="1" applyBorder="1" applyAlignment="1">
      <alignment vertical="center"/>
    </xf>
    <xf numFmtId="3" fontId="11" fillId="34" borderId="15" xfId="0" applyNumberFormat="1" applyFont="1" applyFill="1" applyBorder="1" applyAlignment="1">
      <alignment vertical="center"/>
    </xf>
    <xf numFmtId="3" fontId="11" fillId="34" borderId="13" xfId="0" applyNumberFormat="1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 vertical="center" wrapText="1"/>
    </xf>
    <xf numFmtId="3" fontId="5" fillId="10" borderId="11" xfId="0" applyNumberFormat="1" applyFont="1" applyFill="1" applyBorder="1" applyAlignment="1">
      <alignment horizontal="right" vertical="center" wrapText="1"/>
    </xf>
    <xf numFmtId="3" fontId="5" fillId="10" borderId="25" xfId="0" applyNumberFormat="1" applyFont="1" applyFill="1" applyBorder="1" applyAlignment="1">
      <alignment vertical="center"/>
    </xf>
    <xf numFmtId="3" fontId="5" fillId="10" borderId="26" xfId="0" applyNumberFormat="1" applyFont="1" applyFill="1" applyBorder="1" applyAlignment="1">
      <alignment vertical="center"/>
    </xf>
    <xf numFmtId="3" fontId="5" fillId="10" borderId="40" xfId="0" applyNumberFormat="1" applyFont="1" applyFill="1" applyBorder="1" applyAlignment="1">
      <alignment vertical="center"/>
    </xf>
    <xf numFmtId="3" fontId="5" fillId="36" borderId="59" xfId="0" applyNumberFormat="1" applyFont="1" applyFill="1" applyBorder="1" applyAlignment="1">
      <alignment vertical="center"/>
    </xf>
    <xf numFmtId="3" fontId="5" fillId="36" borderId="26" xfId="0" applyNumberFormat="1" applyFont="1" applyFill="1" applyBorder="1" applyAlignment="1">
      <alignment vertical="center"/>
    </xf>
    <xf numFmtId="3" fontId="5" fillId="10" borderId="20" xfId="0" applyNumberFormat="1" applyFont="1" applyFill="1" applyBorder="1" applyAlignment="1">
      <alignment vertical="center"/>
    </xf>
    <xf numFmtId="3" fontId="5" fillId="10" borderId="11" xfId="0" applyNumberFormat="1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3" fontId="4" fillId="4" borderId="27" xfId="0" applyNumberFormat="1" applyFont="1" applyFill="1" applyBorder="1" applyAlignment="1">
      <alignment vertical="center"/>
    </xf>
    <xf numFmtId="3" fontId="4" fillId="4" borderId="30" xfId="0" applyNumberFormat="1" applyFont="1" applyFill="1" applyBorder="1" applyAlignment="1">
      <alignment vertical="center"/>
    </xf>
    <xf numFmtId="3" fontId="4" fillId="4" borderId="43" xfId="0" applyNumberFormat="1" applyFont="1" applyFill="1" applyBorder="1" applyAlignment="1">
      <alignment vertical="center"/>
    </xf>
    <xf numFmtId="3" fontId="4" fillId="4" borderId="53" xfId="0" applyNumberFormat="1" applyFont="1" applyFill="1" applyBorder="1" applyAlignment="1">
      <alignment vertical="center"/>
    </xf>
    <xf numFmtId="3" fontId="4" fillId="4" borderId="15" xfId="0" applyNumberFormat="1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3" fontId="4" fillId="4" borderId="28" xfId="0" applyNumberFormat="1" applyFont="1" applyFill="1" applyBorder="1" applyAlignment="1">
      <alignment vertical="center"/>
    </xf>
    <xf numFmtId="3" fontId="4" fillId="4" borderId="29" xfId="0" applyNumberFormat="1" applyFont="1" applyFill="1" applyBorder="1" applyAlignment="1">
      <alignment vertical="center"/>
    </xf>
    <xf numFmtId="3" fontId="4" fillId="4" borderId="42" xfId="0" applyNumberFormat="1" applyFont="1" applyFill="1" applyBorder="1" applyAlignment="1">
      <alignment vertical="center"/>
    </xf>
    <xf numFmtId="3" fontId="4" fillId="4" borderId="49" xfId="0" applyNumberFormat="1" applyFont="1" applyFill="1" applyBorder="1" applyAlignment="1">
      <alignment vertical="center"/>
    </xf>
    <xf numFmtId="3" fontId="4" fillId="4" borderId="13" xfId="0" applyNumberFormat="1" applyFont="1" applyFill="1" applyBorder="1" applyAlignment="1">
      <alignment vertical="center"/>
    </xf>
    <xf numFmtId="3" fontId="2" fillId="4" borderId="15" xfId="0" applyNumberFormat="1" applyFont="1" applyFill="1" applyBorder="1" applyAlignment="1">
      <alignment vertical="center"/>
    </xf>
    <xf numFmtId="3" fontId="2" fillId="4" borderId="13" xfId="0" applyNumberFormat="1" applyFont="1" applyFill="1" applyBorder="1" applyAlignment="1">
      <alignment vertical="center"/>
    </xf>
    <xf numFmtId="3" fontId="2" fillId="4" borderId="12" xfId="0" applyNumberFormat="1" applyFont="1" applyFill="1" applyBorder="1" applyAlignment="1">
      <alignment vertical="center"/>
    </xf>
    <xf numFmtId="0" fontId="11" fillId="36" borderId="67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8" borderId="67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2" fillId="40" borderId="28" xfId="0" applyNumberFormat="1" applyFont="1" applyFill="1" applyBorder="1" applyAlignment="1">
      <alignment vertical="center"/>
    </xf>
    <xf numFmtId="3" fontId="2" fillId="40" borderId="14" xfId="0" applyNumberFormat="1" applyFont="1" applyFill="1" applyBorder="1" applyAlignment="1">
      <alignment vertical="center" wrapText="1"/>
    </xf>
    <xf numFmtId="3" fontId="2" fillId="40" borderId="27" xfId="0" applyNumberFormat="1" applyFont="1" applyFill="1" applyBorder="1" applyAlignment="1">
      <alignment vertical="center"/>
    </xf>
    <xf numFmtId="3" fontId="2" fillId="40" borderId="30" xfId="0" applyNumberFormat="1" applyFont="1" applyFill="1" applyBorder="1" applyAlignment="1">
      <alignment vertical="center"/>
    </xf>
    <xf numFmtId="3" fontId="4" fillId="40" borderId="27" xfId="0" applyNumberFormat="1" applyFont="1" applyFill="1" applyBorder="1" applyAlignment="1">
      <alignment vertical="center"/>
    </xf>
    <xf numFmtId="3" fontId="2" fillId="40" borderId="53" xfId="0" applyNumberFormat="1" applyFont="1" applyFill="1" applyBorder="1" applyAlignment="1">
      <alignment vertical="center"/>
    </xf>
    <xf numFmtId="3" fontId="2" fillId="40" borderId="15" xfId="0" applyNumberFormat="1" applyFont="1" applyFill="1" applyBorder="1" applyAlignment="1">
      <alignment vertical="center"/>
    </xf>
    <xf numFmtId="3" fontId="2" fillId="40" borderId="14" xfId="0" applyNumberFormat="1" applyFont="1" applyFill="1" applyBorder="1" applyAlignment="1">
      <alignment vertical="center"/>
    </xf>
    <xf numFmtId="3" fontId="2" fillId="40" borderId="19" xfId="0" applyNumberFormat="1" applyFont="1" applyFill="1" applyBorder="1" applyAlignment="1">
      <alignment vertical="center" wrapText="1"/>
    </xf>
    <xf numFmtId="3" fontId="2" fillId="40" borderId="33" xfId="0" applyNumberFormat="1" applyFont="1" applyFill="1" applyBorder="1" applyAlignment="1">
      <alignment vertical="center"/>
    </xf>
    <xf numFmtId="3" fontId="2" fillId="40" borderId="34" xfId="0" applyNumberFormat="1" applyFont="1" applyFill="1" applyBorder="1" applyAlignment="1">
      <alignment vertical="center"/>
    </xf>
    <xf numFmtId="3" fontId="4" fillId="40" borderId="33" xfId="0" applyNumberFormat="1" applyFont="1" applyFill="1" applyBorder="1" applyAlignment="1">
      <alignment vertical="center"/>
    </xf>
    <xf numFmtId="3" fontId="2" fillId="40" borderId="61" xfId="0" applyNumberFormat="1" applyFont="1" applyFill="1" applyBorder="1" applyAlignment="1">
      <alignment vertical="center"/>
    </xf>
    <xf numFmtId="3" fontId="2" fillId="40" borderId="12" xfId="0" applyNumberFormat="1" applyFont="1" applyFill="1" applyBorder="1" applyAlignment="1">
      <alignment vertical="center"/>
    </xf>
    <xf numFmtId="0" fontId="4" fillId="40" borderId="23" xfId="0" applyFont="1" applyFill="1" applyBorder="1" applyAlignment="1">
      <alignment horizontal="left" vertical="center" wrapText="1"/>
    </xf>
    <xf numFmtId="0" fontId="4" fillId="40" borderId="24" xfId="0" applyFont="1" applyFill="1" applyBorder="1" applyAlignment="1">
      <alignment horizontal="left" vertical="center" wrapText="1"/>
    </xf>
    <xf numFmtId="3" fontId="4" fillId="40" borderId="15" xfId="0" applyNumberFormat="1" applyFont="1" applyFill="1" applyBorder="1" applyAlignment="1">
      <alignment vertical="center"/>
    </xf>
    <xf numFmtId="0" fontId="22" fillId="39" borderId="10" xfId="0" applyFont="1" applyFill="1" applyBorder="1" applyAlignment="1">
      <alignment horizontal="center" vertical="center"/>
    </xf>
    <xf numFmtId="3" fontId="22" fillId="39" borderId="11" xfId="0" applyNumberFormat="1" applyFont="1" applyFill="1" applyBorder="1" applyAlignment="1">
      <alignment vertical="center"/>
    </xf>
    <xf numFmtId="3" fontId="22" fillId="39" borderId="25" xfId="0" applyNumberFormat="1" applyFont="1" applyFill="1" applyBorder="1" applyAlignment="1">
      <alignment vertical="center"/>
    </xf>
    <xf numFmtId="3" fontId="22" fillId="39" borderId="26" xfId="0" applyNumberFormat="1" applyFont="1" applyFill="1" applyBorder="1" applyAlignment="1">
      <alignment vertical="center"/>
    </xf>
    <xf numFmtId="3" fontId="22" fillId="39" borderId="59" xfId="0" applyNumberFormat="1" applyFont="1" applyFill="1" applyBorder="1" applyAlignment="1">
      <alignment vertical="center"/>
    </xf>
    <xf numFmtId="3" fontId="22" fillId="39" borderId="20" xfId="0" applyNumberFormat="1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2" borderId="33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3" fontId="23" fillId="39" borderId="25" xfId="0" applyNumberFormat="1" applyFont="1" applyFill="1" applyBorder="1" applyAlignment="1">
      <alignment vertical="center"/>
    </xf>
    <xf numFmtId="3" fontId="23" fillId="39" borderId="26" xfId="0" applyNumberFormat="1" applyFont="1" applyFill="1" applyBorder="1" applyAlignment="1">
      <alignment vertical="center"/>
    </xf>
    <xf numFmtId="3" fontId="23" fillId="39" borderId="59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right" vertical="center" wrapText="1"/>
    </xf>
    <xf numFmtId="3" fontId="8" fillId="2" borderId="20" xfId="0" applyNumberFormat="1" applyFont="1" applyFill="1" applyBorder="1" applyAlignment="1">
      <alignment vertical="center"/>
    </xf>
    <xf numFmtId="3" fontId="8" fillId="2" borderId="2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vertical="center"/>
    </xf>
    <xf numFmtId="3" fontId="8" fillId="2" borderId="20" xfId="0" applyNumberFormat="1" applyFont="1" applyFill="1" applyBorder="1" applyAlignment="1">
      <alignment vertical="center" wrapText="1"/>
    </xf>
    <xf numFmtId="3" fontId="22" fillId="2" borderId="20" xfId="0" applyNumberFormat="1" applyFont="1" applyFill="1" applyBorder="1" applyAlignment="1">
      <alignment vertical="center"/>
    </xf>
    <xf numFmtId="3" fontId="23" fillId="2" borderId="2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3" fontId="6" fillId="0" borderId="68" xfId="0" applyNumberFormat="1" applyFont="1" applyFill="1" applyBorder="1" applyAlignment="1">
      <alignment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3" fontId="5" fillId="7" borderId="64" xfId="0" applyNumberFormat="1" applyFont="1" applyFill="1" applyBorder="1" applyAlignment="1">
      <alignment vertical="center" wrapText="1"/>
    </xf>
    <xf numFmtId="3" fontId="5" fillId="7" borderId="63" xfId="0" applyNumberFormat="1" applyFont="1" applyFill="1" applyBorder="1" applyAlignment="1">
      <alignment vertical="center" wrapText="1"/>
    </xf>
    <xf numFmtId="3" fontId="3" fillId="35" borderId="20" xfId="0" applyNumberFormat="1" applyFont="1" applyFill="1" applyBorder="1" applyAlignment="1">
      <alignment horizontal="right" vertical="center" wrapText="1"/>
    </xf>
    <xf numFmtId="3" fontId="3" fillId="35" borderId="25" xfId="0" applyNumberFormat="1" applyFont="1" applyFill="1" applyBorder="1" applyAlignment="1">
      <alignment horizontal="right" vertical="center"/>
    </xf>
    <xf numFmtId="3" fontId="3" fillId="35" borderId="26" xfId="0" applyNumberFormat="1" applyFont="1" applyFill="1" applyBorder="1" applyAlignment="1">
      <alignment horizontal="right" vertical="center"/>
    </xf>
    <xf numFmtId="3" fontId="66" fillId="35" borderId="40" xfId="0" applyNumberFormat="1" applyFont="1" applyFill="1" applyBorder="1" applyAlignment="1">
      <alignment horizontal="right" vertical="center"/>
    </xf>
    <xf numFmtId="3" fontId="3" fillId="35" borderId="59" xfId="0" applyNumberFormat="1" applyFont="1" applyFill="1" applyBorder="1" applyAlignment="1">
      <alignment horizontal="right" vertical="center"/>
    </xf>
    <xf numFmtId="3" fontId="3" fillId="35" borderId="67" xfId="0" applyNumberFormat="1" applyFont="1" applyFill="1" applyBorder="1" applyAlignment="1">
      <alignment horizontal="right" vertical="center"/>
    </xf>
    <xf numFmtId="3" fontId="3" fillId="35" borderId="11" xfId="0" applyNumberFormat="1" applyFont="1" applyFill="1" applyBorder="1" applyAlignment="1">
      <alignment horizontal="right" vertical="center"/>
    </xf>
    <xf numFmtId="3" fontId="8" fillId="7" borderId="51" xfId="0" applyNumberFormat="1" applyFont="1" applyFill="1" applyBorder="1" applyAlignment="1">
      <alignment vertical="center"/>
    </xf>
    <xf numFmtId="3" fontId="8" fillId="7" borderId="69" xfId="0" applyNumberFormat="1" applyFont="1" applyFill="1" applyBorder="1" applyAlignment="1">
      <alignment vertical="center"/>
    </xf>
    <xf numFmtId="3" fontId="8" fillId="36" borderId="70" xfId="0" applyNumberFormat="1" applyFont="1" applyFill="1" applyBorder="1" applyAlignment="1">
      <alignment vertical="center"/>
    </xf>
    <xf numFmtId="3" fontId="8" fillId="36" borderId="69" xfId="0" applyNumberFormat="1" applyFont="1" applyFill="1" applyBorder="1" applyAlignment="1">
      <alignment vertical="center"/>
    </xf>
    <xf numFmtId="3" fontId="8" fillId="7" borderId="45" xfId="0" applyNumberFormat="1" applyFont="1" applyFill="1" applyBorder="1" applyAlignment="1">
      <alignment vertical="center"/>
    </xf>
    <xf numFmtId="3" fontId="8" fillId="7" borderId="28" xfId="0" applyNumberFormat="1" applyFont="1" applyFill="1" applyBorder="1" applyAlignment="1">
      <alignment vertical="center"/>
    </xf>
    <xf numFmtId="3" fontId="8" fillId="7" borderId="71" xfId="0" applyNumberFormat="1" applyFont="1" applyFill="1" applyBorder="1" applyAlignment="1">
      <alignment vertical="center"/>
    </xf>
    <xf numFmtId="3" fontId="8" fillId="36" borderId="42" xfId="0" applyNumberFormat="1" applyFont="1" applyFill="1" applyBorder="1" applyAlignment="1">
      <alignment vertical="center"/>
    </xf>
    <xf numFmtId="3" fontId="8" fillId="36" borderId="71" xfId="0" applyNumberFormat="1" applyFont="1" applyFill="1" applyBorder="1" applyAlignment="1">
      <alignment vertical="center"/>
    </xf>
    <xf numFmtId="3" fontId="8" fillId="7" borderId="12" xfId="0" applyNumberFormat="1" applyFont="1" applyFill="1" applyBorder="1" applyAlignment="1">
      <alignment vertical="center"/>
    </xf>
    <xf numFmtId="0" fontId="24" fillId="34" borderId="7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textRotation="90"/>
    </xf>
    <xf numFmtId="0" fontId="3" fillId="34" borderId="38" xfId="0" applyFont="1" applyFill="1" applyBorder="1" applyAlignment="1">
      <alignment horizontal="center" vertical="center" textRotation="90"/>
    </xf>
    <xf numFmtId="0" fontId="3" fillId="34" borderId="46" xfId="0" applyFont="1" applyFill="1" applyBorder="1" applyAlignment="1">
      <alignment horizontal="center" vertical="center" textRotation="90"/>
    </xf>
    <xf numFmtId="3" fontId="5" fillId="7" borderId="45" xfId="0" applyNumberFormat="1" applyFont="1" applyFill="1" applyBorder="1" applyAlignment="1">
      <alignment horizontal="center" vertical="center" wrapText="1"/>
    </xf>
    <xf numFmtId="3" fontId="5" fillId="7" borderId="17" xfId="0" applyNumberFormat="1" applyFont="1" applyFill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textRotation="90"/>
    </xf>
    <xf numFmtId="0" fontId="3" fillId="34" borderId="17" xfId="0" applyFont="1" applyFill="1" applyBorder="1" applyAlignment="1">
      <alignment horizontal="center" vertical="center" textRotation="90"/>
    </xf>
    <xf numFmtId="0" fontId="3" fillId="34" borderId="74" xfId="0" applyFont="1" applyFill="1" applyBorder="1" applyAlignment="1">
      <alignment horizontal="center" vertical="center" textRotation="90"/>
    </xf>
    <xf numFmtId="3" fontId="24" fillId="0" borderId="39" xfId="0" applyNumberFormat="1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39" xfId="0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9" fillId="33" borderId="74" xfId="0" applyFont="1" applyFill="1" applyBorder="1" applyAlignment="1">
      <alignment horizontal="center" vertical="center"/>
    </xf>
    <xf numFmtId="0" fontId="19" fillId="33" borderId="72" xfId="0" applyFont="1" applyFill="1" applyBorder="1" applyAlignment="1">
      <alignment horizontal="center" vertical="center"/>
    </xf>
    <xf numFmtId="3" fontId="5" fillId="7" borderId="51" xfId="0" applyNumberFormat="1" applyFont="1" applyFill="1" applyBorder="1" applyAlignment="1">
      <alignment horizontal="center" vertical="center" textRotation="90" wrapText="1"/>
    </xf>
    <xf numFmtId="3" fontId="5" fillId="7" borderId="28" xfId="0" applyNumberFormat="1" applyFont="1" applyFill="1" applyBorder="1" applyAlignment="1">
      <alignment horizontal="center" vertical="center" textRotation="90" wrapText="1"/>
    </xf>
    <xf numFmtId="3" fontId="5" fillId="7" borderId="31" xfId="0" applyNumberFormat="1" applyFont="1" applyFill="1" applyBorder="1" applyAlignment="1">
      <alignment horizontal="center" vertical="center" textRotation="90" wrapText="1"/>
    </xf>
    <xf numFmtId="0" fontId="8" fillId="34" borderId="0" xfId="0" applyFont="1" applyFill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zoomScalePageLayoutView="0" workbookViewId="0" topLeftCell="A1">
      <selection activeCell="L62" sqref="L62"/>
    </sheetView>
  </sheetViews>
  <sheetFormatPr defaultColWidth="9.140625" defaultRowHeight="15"/>
  <cols>
    <col min="1" max="1" width="6.00390625" style="101" customWidth="1"/>
    <col min="2" max="2" width="36.00390625" style="101" customWidth="1"/>
    <col min="3" max="3" width="10.421875" style="180" hidden="1" customWidth="1"/>
    <col min="4" max="4" width="11.8515625" style="101" customWidth="1"/>
    <col min="5" max="5" width="12.140625" style="101" customWidth="1"/>
    <col min="6" max="6" width="10.8515625" style="101" customWidth="1"/>
    <col min="7" max="7" width="9.421875" style="101" hidden="1" customWidth="1"/>
    <col min="8" max="8" width="9.8515625" style="101" hidden="1" customWidth="1"/>
    <col min="9" max="9" width="8.28125" style="101" hidden="1" customWidth="1"/>
    <col min="10" max="10" width="8.421875" style="101" hidden="1" customWidth="1"/>
    <col min="11" max="11" width="10.7109375" style="101" customWidth="1"/>
    <col min="12" max="12" width="12.140625" style="138" customWidth="1"/>
    <col min="13" max="13" width="13.28125" style="101" customWidth="1"/>
    <col min="14" max="14" width="9.140625" style="101" customWidth="1"/>
    <col min="15" max="15" width="9.57421875" style="101" bestFit="1" customWidth="1"/>
    <col min="16" max="16384" width="9.140625" style="101" customWidth="1"/>
  </cols>
  <sheetData>
    <row r="1" spans="3:13" ht="12.75">
      <c r="C1" s="102"/>
      <c r="L1" s="102"/>
      <c r="M1" s="431" t="s">
        <v>186</v>
      </c>
    </row>
    <row r="2" spans="1:13" ht="45" customHeight="1" thickBot="1">
      <c r="A2" s="401" t="s">
        <v>185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39" customHeight="1" thickBot="1">
      <c r="A3" s="103"/>
      <c r="B3" s="181"/>
      <c r="C3" s="202"/>
      <c r="D3" s="421" t="s">
        <v>183</v>
      </c>
      <c r="E3" s="423"/>
      <c r="F3" s="421" t="s">
        <v>165</v>
      </c>
      <c r="G3" s="422"/>
      <c r="H3" s="422"/>
      <c r="I3" s="422"/>
      <c r="J3" s="422"/>
      <c r="K3" s="423"/>
      <c r="L3" s="424" t="s">
        <v>181</v>
      </c>
      <c r="M3" s="104"/>
    </row>
    <row r="4" spans="1:13" s="108" customFormat="1" ht="58.5" customHeight="1" thickBot="1">
      <c r="A4" s="426"/>
      <c r="B4" s="427"/>
      <c r="C4" s="427"/>
      <c r="D4" s="348" t="s">
        <v>153</v>
      </c>
      <c r="E4" s="349" t="s">
        <v>163</v>
      </c>
      <c r="F4" s="350" t="s">
        <v>149</v>
      </c>
      <c r="G4" s="380" t="s">
        <v>148</v>
      </c>
      <c r="H4" s="380" t="s">
        <v>147</v>
      </c>
      <c r="I4" s="380" t="s">
        <v>0</v>
      </c>
      <c r="J4" s="381" t="s">
        <v>1</v>
      </c>
      <c r="K4" s="322" t="s">
        <v>154</v>
      </c>
      <c r="L4" s="425"/>
      <c r="M4" s="107"/>
    </row>
    <row r="5" spans="1:13" s="110" customFormat="1" ht="30" customHeight="1">
      <c r="A5" s="428" t="s">
        <v>2</v>
      </c>
      <c r="B5" s="382" t="s">
        <v>182</v>
      </c>
      <c r="C5" s="414"/>
      <c r="D5" s="391">
        <v>0</v>
      </c>
      <c r="E5" s="392">
        <v>0</v>
      </c>
      <c r="F5" s="391">
        <f>1134156+153900+180000+66410</f>
        <v>1534466</v>
      </c>
      <c r="G5" s="393">
        <v>224206.4556302132</v>
      </c>
      <c r="H5" s="393">
        <v>0</v>
      </c>
      <c r="I5" s="393">
        <v>373000</v>
      </c>
      <c r="J5" s="394">
        <v>83000</v>
      </c>
      <c r="K5" s="395">
        <f>G5+H5+I5+J5</f>
        <v>680206.4556302133</v>
      </c>
      <c r="L5" s="395">
        <f>SUM(D5:F5)+K5</f>
        <v>2214672.455630213</v>
      </c>
      <c r="M5" s="109"/>
    </row>
    <row r="6" spans="1:13" s="110" customFormat="1" ht="30" customHeight="1">
      <c r="A6" s="429"/>
      <c r="B6" s="383" t="s">
        <v>3</v>
      </c>
      <c r="C6" s="415"/>
      <c r="D6" s="396">
        <f>40924699+393883+434430+6080283</f>
        <v>47833295</v>
      </c>
      <c r="E6" s="397">
        <f>2355866+1650</f>
        <v>2357516</v>
      </c>
      <c r="F6" s="396">
        <f>3941718-461403+60000</f>
        <v>3540315</v>
      </c>
      <c r="G6" s="398">
        <v>93600</v>
      </c>
      <c r="H6" s="398">
        <f>461403+58000</f>
        <v>519403</v>
      </c>
      <c r="I6" s="398">
        <v>100000</v>
      </c>
      <c r="J6" s="399">
        <v>10000</v>
      </c>
      <c r="K6" s="400">
        <f>G6+H6+I6+J6</f>
        <v>723003</v>
      </c>
      <c r="L6" s="400">
        <f>SUM(D6:F6)+K6</f>
        <v>54454129</v>
      </c>
      <c r="M6" s="111"/>
    </row>
    <row r="7" spans="1:13" s="110" customFormat="1" ht="30" customHeight="1" thickBot="1">
      <c r="A7" s="430"/>
      <c r="B7" s="274" t="s">
        <v>164</v>
      </c>
      <c r="C7" s="416"/>
      <c r="D7" s="275">
        <f aca="true" t="shared" si="0" ref="D7:J7">D5+D6</f>
        <v>47833295</v>
      </c>
      <c r="E7" s="276">
        <f t="shared" si="0"/>
        <v>2357516</v>
      </c>
      <c r="F7" s="275">
        <f t="shared" si="0"/>
        <v>5074781</v>
      </c>
      <c r="G7" s="277">
        <f t="shared" si="0"/>
        <v>317806.4556302132</v>
      </c>
      <c r="H7" s="277">
        <f t="shared" si="0"/>
        <v>519403</v>
      </c>
      <c r="I7" s="277">
        <f t="shared" si="0"/>
        <v>473000</v>
      </c>
      <c r="J7" s="278">
        <f t="shared" si="0"/>
        <v>93000</v>
      </c>
      <c r="K7" s="279">
        <f>G7+H7+I7+J7</f>
        <v>1403209.4556302133</v>
      </c>
      <c r="L7" s="280">
        <f>SUM(D7:F7)+K7</f>
        <v>56668801.45563021</v>
      </c>
      <c r="M7" s="112"/>
    </row>
    <row r="8" spans="1:13" s="117" customFormat="1" ht="9" customHeight="1" thickBot="1">
      <c r="A8" s="86"/>
      <c r="B8" s="87"/>
      <c r="C8" s="113"/>
      <c r="D8" s="114"/>
      <c r="E8" s="114"/>
      <c r="F8" s="114"/>
      <c r="G8" s="114"/>
      <c r="H8" s="115"/>
      <c r="I8" s="115"/>
      <c r="J8" s="115"/>
      <c r="K8" s="115"/>
      <c r="L8" s="115"/>
      <c r="M8" s="116"/>
    </row>
    <row r="9" spans="1:13" s="120" customFormat="1" ht="30" customHeight="1" thickBot="1">
      <c r="A9" s="88"/>
      <c r="B9" s="384" t="s">
        <v>4</v>
      </c>
      <c r="C9" s="118"/>
      <c r="D9" s="385">
        <f>D7-D175</f>
        <v>0.12391414493322372</v>
      </c>
      <c r="E9" s="386">
        <f aca="true" t="shared" si="1" ref="E9:K9">E7-E175</f>
        <v>0</v>
      </c>
      <c r="F9" s="387">
        <f>F7-F175</f>
        <v>0</v>
      </c>
      <c r="G9" s="388">
        <f t="shared" si="1"/>
        <v>0.45563021319685504</v>
      </c>
      <c r="H9" s="388">
        <f t="shared" si="1"/>
        <v>0</v>
      </c>
      <c r="I9" s="389">
        <f t="shared" si="1"/>
        <v>0</v>
      </c>
      <c r="J9" s="389">
        <f t="shared" si="1"/>
        <v>0</v>
      </c>
      <c r="K9" s="389">
        <f t="shared" si="1"/>
        <v>0.4556302132550627</v>
      </c>
      <c r="L9" s="390">
        <f>L7-L175-1</f>
        <v>-0.4204556420445442</v>
      </c>
      <c r="M9" s="119"/>
    </row>
    <row r="10" spans="1:13" s="117" customFormat="1" ht="39.75" customHeight="1" thickBot="1">
      <c r="A10" s="379"/>
      <c r="B10" s="420" t="s">
        <v>184</v>
      </c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1:13" ht="15" customHeight="1" thickBot="1">
      <c r="A11" s="103"/>
      <c r="B11" s="181"/>
      <c r="C11" s="182"/>
      <c r="D11" s="402" t="s">
        <v>5</v>
      </c>
      <c r="E11" s="403"/>
      <c r="F11" s="403"/>
      <c r="G11" s="403"/>
      <c r="H11" s="403"/>
      <c r="I11" s="403"/>
      <c r="J11" s="403"/>
      <c r="K11" s="403"/>
      <c r="L11" s="404"/>
      <c r="M11" s="405" t="s">
        <v>6</v>
      </c>
    </row>
    <row r="12" spans="1:13" ht="43.5" customHeight="1" thickBot="1">
      <c r="A12" s="1" t="s">
        <v>7</v>
      </c>
      <c r="B12" s="2" t="s">
        <v>8</v>
      </c>
      <c r="C12" s="3" t="s">
        <v>144</v>
      </c>
      <c r="D12" s="105" t="s">
        <v>153</v>
      </c>
      <c r="E12" s="106" t="s">
        <v>152</v>
      </c>
      <c r="F12" s="105" t="s">
        <v>149</v>
      </c>
      <c r="G12" s="207" t="s">
        <v>148</v>
      </c>
      <c r="H12" s="207" t="s">
        <v>147</v>
      </c>
      <c r="I12" s="207" t="s">
        <v>0</v>
      </c>
      <c r="J12" s="316" t="s">
        <v>1</v>
      </c>
      <c r="K12" s="317" t="s">
        <v>154</v>
      </c>
      <c r="L12" s="378" t="s">
        <v>174</v>
      </c>
      <c r="M12" s="406"/>
    </row>
    <row r="13" spans="1:13" ht="15" customHeight="1" thickBot="1">
      <c r="A13" s="411" t="s">
        <v>9</v>
      </c>
      <c r="B13" s="290" t="s">
        <v>10</v>
      </c>
      <c r="C13" s="291">
        <f aca="true" t="shared" si="2" ref="C13:H13">+C14+C27+C35</f>
        <v>11507369</v>
      </c>
      <c r="D13" s="292">
        <f t="shared" si="2"/>
        <v>4030162</v>
      </c>
      <c r="E13" s="293">
        <f t="shared" si="2"/>
        <v>743976</v>
      </c>
      <c r="F13" s="294">
        <f t="shared" si="2"/>
        <v>2094613</v>
      </c>
      <c r="G13" s="295">
        <f t="shared" si="2"/>
        <v>103566</v>
      </c>
      <c r="H13" s="295">
        <f t="shared" si="2"/>
        <v>465618</v>
      </c>
      <c r="I13" s="295">
        <f>+I14+I27+I35</f>
        <v>473000</v>
      </c>
      <c r="J13" s="296">
        <f>+J14+J27+J35</f>
        <v>0</v>
      </c>
      <c r="K13" s="297">
        <f>G13+H13+I13+J13</f>
        <v>1042184</v>
      </c>
      <c r="L13" s="297">
        <f>D13+E13+F13+K13</f>
        <v>7910935</v>
      </c>
      <c r="M13" s="298">
        <f>+M14+M27+M35</f>
        <v>3596434</v>
      </c>
    </row>
    <row r="14" spans="1:13" ht="11.25">
      <c r="A14" s="412"/>
      <c r="B14" s="299" t="s">
        <v>11</v>
      </c>
      <c r="C14" s="300">
        <f aca="true" t="shared" si="3" ref="C14:H14">+C15+C16+C17+C18+C19+C20+C21+C22</f>
        <v>7284075</v>
      </c>
      <c r="D14" s="301">
        <f t="shared" si="3"/>
        <v>3600366</v>
      </c>
      <c r="E14" s="302">
        <f t="shared" si="3"/>
        <v>743976</v>
      </c>
      <c r="F14" s="303">
        <f t="shared" si="3"/>
        <v>1295227</v>
      </c>
      <c r="G14" s="304">
        <f t="shared" si="3"/>
        <v>103566</v>
      </c>
      <c r="H14" s="304">
        <f t="shared" si="3"/>
        <v>465618</v>
      </c>
      <c r="I14" s="304">
        <f>+I15+I16+I17+I18+I19+I20+I21+I22</f>
        <v>473000</v>
      </c>
      <c r="J14" s="302">
        <f>+J15+J16+J17+J18+J19+J20+J21+J22</f>
        <v>0</v>
      </c>
      <c r="K14" s="305">
        <f>G14+H14+I14+J14</f>
        <v>1042184</v>
      </c>
      <c r="L14" s="305">
        <f>D14+E14+F14+K14</f>
        <v>6681753</v>
      </c>
      <c r="M14" s="300">
        <f>+M15+M16+M17+M18+M19+M20+M21+M22</f>
        <v>602322</v>
      </c>
    </row>
    <row r="15" spans="1:13" ht="11.25">
      <c r="A15" s="412"/>
      <c r="B15" s="122" t="s">
        <v>12</v>
      </c>
      <c r="C15" s="4">
        <v>88660</v>
      </c>
      <c r="D15" s="53"/>
      <c r="E15" s="54"/>
      <c r="F15" s="97">
        <v>70000</v>
      </c>
      <c r="G15" s="208"/>
      <c r="H15" s="208"/>
      <c r="I15" s="208"/>
      <c r="J15" s="209"/>
      <c r="K15" s="11">
        <f>G15+H15+I15+J15</f>
        <v>0</v>
      </c>
      <c r="L15" s="5">
        <f>D15+E15+F15+K15</f>
        <v>70000</v>
      </c>
      <c r="M15" s="4">
        <f>C15-D15-E15-F15-G15-H15-I15</f>
        <v>18660</v>
      </c>
    </row>
    <row r="16" spans="1:13" ht="12" customHeight="1">
      <c r="A16" s="412"/>
      <c r="B16" s="123" t="s">
        <v>13</v>
      </c>
      <c r="C16" s="6">
        <f>245327+43443</f>
        <v>288770</v>
      </c>
      <c r="D16" s="53"/>
      <c r="E16" s="54"/>
      <c r="F16" s="97">
        <v>245000</v>
      </c>
      <c r="G16" s="208"/>
      <c r="H16" s="208"/>
      <c r="I16" s="208"/>
      <c r="J16" s="209"/>
      <c r="K16" s="11">
        <f aca="true" t="shared" si="4" ref="K16:K35">G16+H16+I16+J16</f>
        <v>0</v>
      </c>
      <c r="L16" s="5">
        <f aca="true" t="shared" si="5" ref="L16:L35">D16+E16+F16+K16</f>
        <v>245000</v>
      </c>
      <c r="M16" s="4">
        <f aca="true" t="shared" si="6" ref="M16:M26">C16-D16-E16-F16-G16-H16-I16</f>
        <v>43770</v>
      </c>
    </row>
    <row r="17" spans="1:13" ht="11.25">
      <c r="A17" s="412"/>
      <c r="B17" s="123" t="s">
        <v>14</v>
      </c>
      <c r="C17" s="6">
        <f>176567+13008+2500000</f>
        <v>2689575</v>
      </c>
      <c r="D17" s="53">
        <v>1712450</v>
      </c>
      <c r="E17" s="54"/>
      <c r="F17" s="97">
        <v>977037</v>
      </c>
      <c r="G17" s="208"/>
      <c r="H17" s="208"/>
      <c r="I17" s="208"/>
      <c r="J17" s="209"/>
      <c r="K17" s="11">
        <f t="shared" si="4"/>
        <v>0</v>
      </c>
      <c r="L17" s="5">
        <f t="shared" si="5"/>
        <v>2689487</v>
      </c>
      <c r="M17" s="4">
        <f t="shared" si="6"/>
        <v>88</v>
      </c>
    </row>
    <row r="18" spans="1:13" ht="22.5">
      <c r="A18" s="412"/>
      <c r="B18" s="123" t="s">
        <v>166</v>
      </c>
      <c r="C18" s="6">
        <f>34000+139950+2320+57920+2030</f>
        <v>236220</v>
      </c>
      <c r="D18" s="53">
        <v>100000</v>
      </c>
      <c r="E18" s="54"/>
      <c r="F18" s="97"/>
      <c r="G18" s="208"/>
      <c r="H18" s="208">
        <v>57000</v>
      </c>
      <c r="I18" s="208">
        <v>60000</v>
      </c>
      <c r="J18" s="209"/>
      <c r="K18" s="11">
        <f t="shared" si="4"/>
        <v>117000</v>
      </c>
      <c r="L18" s="5">
        <f t="shared" si="5"/>
        <v>217000</v>
      </c>
      <c r="M18" s="4">
        <f t="shared" si="6"/>
        <v>19220</v>
      </c>
    </row>
    <row r="19" spans="1:13" ht="11.25">
      <c r="A19" s="412"/>
      <c r="B19" s="123" t="s">
        <v>15</v>
      </c>
      <c r="C19" s="6">
        <v>3190</v>
      </c>
      <c r="D19" s="53"/>
      <c r="E19" s="54"/>
      <c r="F19" s="97">
        <v>3190</v>
      </c>
      <c r="G19" s="208"/>
      <c r="H19" s="208"/>
      <c r="I19" s="208"/>
      <c r="J19" s="209"/>
      <c r="K19" s="11">
        <f t="shared" si="4"/>
        <v>0</v>
      </c>
      <c r="L19" s="5">
        <f t="shared" si="5"/>
        <v>3190</v>
      </c>
      <c r="M19" s="4">
        <f t="shared" si="6"/>
        <v>0</v>
      </c>
    </row>
    <row r="20" spans="1:13" ht="11.25">
      <c r="A20" s="412"/>
      <c r="B20" s="123" t="s">
        <v>16</v>
      </c>
      <c r="C20" s="4">
        <v>75300</v>
      </c>
      <c r="D20" s="53">
        <v>55300</v>
      </c>
      <c r="E20" s="54"/>
      <c r="F20" s="97"/>
      <c r="G20" s="208"/>
      <c r="H20" s="208">
        <v>0</v>
      </c>
      <c r="I20" s="208">
        <v>20000</v>
      </c>
      <c r="J20" s="209"/>
      <c r="K20" s="11">
        <f t="shared" si="4"/>
        <v>20000</v>
      </c>
      <c r="L20" s="5">
        <f t="shared" si="5"/>
        <v>75300</v>
      </c>
      <c r="M20" s="4">
        <f t="shared" si="6"/>
        <v>0</v>
      </c>
    </row>
    <row r="21" spans="1:13" ht="11.25">
      <c r="A21" s="412"/>
      <c r="B21" s="122" t="s">
        <v>17</v>
      </c>
      <c r="C21" s="4">
        <v>464560</v>
      </c>
      <c r="D21" s="53">
        <v>161560</v>
      </c>
      <c r="E21" s="54"/>
      <c r="F21" s="97"/>
      <c r="G21" s="210"/>
      <c r="H21" s="210">
        <v>240000</v>
      </c>
      <c r="I21" s="210">
        <v>53000</v>
      </c>
      <c r="J21" s="211"/>
      <c r="K21" s="11">
        <f t="shared" si="4"/>
        <v>293000</v>
      </c>
      <c r="L21" s="5">
        <f t="shared" si="5"/>
        <v>454560</v>
      </c>
      <c r="M21" s="4">
        <f t="shared" si="6"/>
        <v>10000</v>
      </c>
    </row>
    <row r="22" spans="1:13" ht="11.25">
      <c r="A22" s="412"/>
      <c r="B22" s="281" t="s">
        <v>18</v>
      </c>
      <c r="C22" s="282">
        <f aca="true" t="shared" si="7" ref="C22:H22">+C23+C24+C25+C26</f>
        <v>3437800</v>
      </c>
      <c r="D22" s="283">
        <f t="shared" si="7"/>
        <v>1571056</v>
      </c>
      <c r="E22" s="284">
        <f t="shared" si="7"/>
        <v>743976</v>
      </c>
      <c r="F22" s="285">
        <f t="shared" si="7"/>
        <v>0</v>
      </c>
      <c r="G22" s="286">
        <f t="shared" si="7"/>
        <v>103566</v>
      </c>
      <c r="H22" s="286">
        <f t="shared" si="7"/>
        <v>168618</v>
      </c>
      <c r="I22" s="286">
        <f>+I23+I24+I25+I26</f>
        <v>340000</v>
      </c>
      <c r="J22" s="287">
        <f>+J23+J24+J25+J26</f>
        <v>0</v>
      </c>
      <c r="K22" s="288">
        <f t="shared" si="4"/>
        <v>612184</v>
      </c>
      <c r="L22" s="289">
        <f t="shared" si="5"/>
        <v>2927216</v>
      </c>
      <c r="M22" s="7">
        <f>+M23+M24+M25+M26</f>
        <v>510584</v>
      </c>
    </row>
    <row r="23" spans="1:13" ht="11.25">
      <c r="A23" s="412"/>
      <c r="B23" s="124" t="s">
        <v>19</v>
      </c>
      <c r="C23" s="8">
        <f>1148500+266460+200000</f>
        <v>1614960</v>
      </c>
      <c r="D23" s="53">
        <v>589757</v>
      </c>
      <c r="E23" s="54">
        <v>500000</v>
      </c>
      <c r="F23" s="97"/>
      <c r="G23" s="208">
        <v>103566</v>
      </c>
      <c r="H23" s="208">
        <v>58618</v>
      </c>
      <c r="I23" s="208">
        <v>40000</v>
      </c>
      <c r="J23" s="209"/>
      <c r="K23" s="11">
        <f t="shared" si="4"/>
        <v>202184</v>
      </c>
      <c r="L23" s="5">
        <f t="shared" si="5"/>
        <v>1291941</v>
      </c>
      <c r="M23" s="9">
        <f t="shared" si="6"/>
        <v>323019</v>
      </c>
    </row>
    <row r="24" spans="1:13" ht="11.25">
      <c r="A24" s="412"/>
      <c r="B24" s="124" t="s">
        <v>20</v>
      </c>
      <c r="C24" s="8">
        <f>1288350+336750</f>
        <v>1625100</v>
      </c>
      <c r="D24" s="53">
        <v>902259</v>
      </c>
      <c r="E24" s="54">
        <v>243976</v>
      </c>
      <c r="F24" s="97"/>
      <c r="G24" s="208"/>
      <c r="H24" s="208">
        <v>50000</v>
      </c>
      <c r="I24" s="208">
        <v>250000</v>
      </c>
      <c r="J24" s="209"/>
      <c r="K24" s="11">
        <f t="shared" si="4"/>
        <v>300000</v>
      </c>
      <c r="L24" s="5">
        <f t="shared" si="5"/>
        <v>1446235</v>
      </c>
      <c r="M24" s="9">
        <f t="shared" si="6"/>
        <v>178865</v>
      </c>
    </row>
    <row r="25" spans="1:13" ht="11.25">
      <c r="A25" s="412"/>
      <c r="B25" s="124" t="s">
        <v>21</v>
      </c>
      <c r="C25" s="8">
        <f>145590+8700</f>
        <v>154290</v>
      </c>
      <c r="D25" s="53">
        <v>35590</v>
      </c>
      <c r="E25" s="54"/>
      <c r="F25" s="97"/>
      <c r="G25" s="208"/>
      <c r="H25" s="208">
        <v>60000</v>
      </c>
      <c r="I25" s="208">
        <v>50000</v>
      </c>
      <c r="J25" s="209"/>
      <c r="K25" s="11">
        <f t="shared" si="4"/>
        <v>110000</v>
      </c>
      <c r="L25" s="5">
        <f t="shared" si="5"/>
        <v>145590</v>
      </c>
      <c r="M25" s="4">
        <f t="shared" si="6"/>
        <v>8700</v>
      </c>
    </row>
    <row r="26" spans="1:13" ht="11.25">
      <c r="A26" s="412"/>
      <c r="B26" s="124" t="s">
        <v>22</v>
      </c>
      <c r="C26" s="8">
        <v>43450</v>
      </c>
      <c r="D26" s="53">
        <v>43450</v>
      </c>
      <c r="E26" s="54"/>
      <c r="F26" s="97"/>
      <c r="G26" s="208"/>
      <c r="H26" s="208"/>
      <c r="I26" s="208"/>
      <c r="J26" s="209"/>
      <c r="K26" s="11">
        <f t="shared" si="4"/>
        <v>0</v>
      </c>
      <c r="L26" s="5">
        <f t="shared" si="5"/>
        <v>43450</v>
      </c>
      <c r="M26" s="4">
        <f t="shared" si="6"/>
        <v>0</v>
      </c>
    </row>
    <row r="27" spans="1:13" ht="12.75" customHeight="1">
      <c r="A27" s="412"/>
      <c r="B27" s="306" t="s">
        <v>23</v>
      </c>
      <c r="C27" s="307">
        <f aca="true" t="shared" si="8" ref="C27:M27">SUM(C28:C34)</f>
        <v>776372</v>
      </c>
      <c r="D27" s="308">
        <f t="shared" si="8"/>
        <v>429796</v>
      </c>
      <c r="E27" s="309">
        <f t="shared" si="8"/>
        <v>0</v>
      </c>
      <c r="F27" s="310">
        <f t="shared" si="8"/>
        <v>199386</v>
      </c>
      <c r="G27" s="311">
        <f t="shared" si="8"/>
        <v>0</v>
      </c>
      <c r="H27" s="311">
        <f t="shared" si="8"/>
        <v>0</v>
      </c>
      <c r="I27" s="311">
        <f t="shared" si="8"/>
        <v>0</v>
      </c>
      <c r="J27" s="309">
        <f t="shared" si="8"/>
        <v>0</v>
      </c>
      <c r="K27" s="305">
        <f t="shared" si="4"/>
        <v>0</v>
      </c>
      <c r="L27" s="312">
        <f t="shared" si="5"/>
        <v>629182</v>
      </c>
      <c r="M27" s="307">
        <f t="shared" si="8"/>
        <v>147190</v>
      </c>
    </row>
    <row r="28" spans="1:13" ht="12.75" customHeight="1">
      <c r="A28" s="412"/>
      <c r="B28" s="123" t="s">
        <v>24</v>
      </c>
      <c r="C28" s="6">
        <v>7100</v>
      </c>
      <c r="D28" s="53"/>
      <c r="E28" s="54"/>
      <c r="F28" s="97">
        <v>7100</v>
      </c>
      <c r="G28" s="208"/>
      <c r="H28" s="208"/>
      <c r="I28" s="208"/>
      <c r="J28" s="209"/>
      <c r="K28" s="11">
        <f t="shared" si="4"/>
        <v>0</v>
      </c>
      <c r="L28" s="5">
        <f t="shared" si="5"/>
        <v>7100</v>
      </c>
      <c r="M28" s="4">
        <f aca="true" t="shared" si="9" ref="M28:M40">C28-D28-E28-F28-G28-H28-I28</f>
        <v>0</v>
      </c>
    </row>
    <row r="29" spans="1:13" ht="11.25">
      <c r="A29" s="412"/>
      <c r="B29" s="123" t="s">
        <v>25</v>
      </c>
      <c r="C29" s="6">
        <f>473673+25557+6500+720+32</f>
        <v>506482</v>
      </c>
      <c r="D29" s="53">
        <v>429796</v>
      </c>
      <c r="E29" s="54"/>
      <c r="F29" s="97">
        <v>76686</v>
      </c>
      <c r="G29" s="208"/>
      <c r="H29" s="208"/>
      <c r="I29" s="208"/>
      <c r="J29" s="209"/>
      <c r="K29" s="11">
        <f t="shared" si="4"/>
        <v>0</v>
      </c>
      <c r="L29" s="5">
        <f t="shared" si="5"/>
        <v>506482</v>
      </c>
      <c r="M29" s="4">
        <f t="shared" si="9"/>
        <v>0</v>
      </c>
    </row>
    <row r="30" spans="1:13" ht="11.25">
      <c r="A30" s="412"/>
      <c r="B30" s="123" t="s">
        <v>26</v>
      </c>
      <c r="C30" s="6">
        <v>11310</v>
      </c>
      <c r="D30" s="53"/>
      <c r="E30" s="54"/>
      <c r="F30" s="97">
        <v>9700</v>
      </c>
      <c r="G30" s="208"/>
      <c r="H30" s="208"/>
      <c r="I30" s="208"/>
      <c r="J30" s="209"/>
      <c r="K30" s="11">
        <f t="shared" si="4"/>
        <v>0</v>
      </c>
      <c r="L30" s="5">
        <f t="shared" si="5"/>
        <v>9700</v>
      </c>
      <c r="M30" s="4">
        <f t="shared" si="9"/>
        <v>1610</v>
      </c>
    </row>
    <row r="31" spans="1:13" ht="12.75" customHeight="1">
      <c r="A31" s="412"/>
      <c r="B31" s="123" t="s">
        <v>27</v>
      </c>
      <c r="C31" s="6">
        <f>3700+10900+120</f>
        <v>14720</v>
      </c>
      <c r="D31" s="53"/>
      <c r="E31" s="54"/>
      <c r="F31" s="97">
        <v>8500</v>
      </c>
      <c r="G31" s="208"/>
      <c r="H31" s="208"/>
      <c r="I31" s="208"/>
      <c r="J31" s="209"/>
      <c r="K31" s="11">
        <f t="shared" si="4"/>
        <v>0</v>
      </c>
      <c r="L31" s="5">
        <f t="shared" si="5"/>
        <v>8500</v>
      </c>
      <c r="M31" s="4">
        <f t="shared" si="9"/>
        <v>6220</v>
      </c>
    </row>
    <row r="32" spans="1:13" ht="14.25" customHeight="1">
      <c r="A32" s="412"/>
      <c r="B32" s="123" t="s">
        <v>28</v>
      </c>
      <c r="C32" s="6">
        <f>2500+1500</f>
        <v>4000</v>
      </c>
      <c r="D32" s="53"/>
      <c r="E32" s="54"/>
      <c r="F32" s="97">
        <v>3900</v>
      </c>
      <c r="G32" s="208"/>
      <c r="H32" s="208"/>
      <c r="I32" s="208"/>
      <c r="J32" s="209"/>
      <c r="K32" s="11">
        <f t="shared" si="4"/>
        <v>0</v>
      </c>
      <c r="L32" s="5">
        <f t="shared" si="5"/>
        <v>3900</v>
      </c>
      <c r="M32" s="4">
        <f t="shared" si="9"/>
        <v>100</v>
      </c>
    </row>
    <row r="33" spans="1:13" ht="22.5" customHeight="1">
      <c r="A33" s="412"/>
      <c r="B33" s="125" t="s">
        <v>29</v>
      </c>
      <c r="C33" s="10">
        <v>226220</v>
      </c>
      <c r="D33" s="57"/>
      <c r="E33" s="58"/>
      <c r="F33" s="98">
        <v>90000</v>
      </c>
      <c r="G33" s="208"/>
      <c r="H33" s="208"/>
      <c r="I33" s="208"/>
      <c r="J33" s="209"/>
      <c r="K33" s="11">
        <f t="shared" si="4"/>
        <v>0</v>
      </c>
      <c r="L33" s="5">
        <f t="shared" si="5"/>
        <v>90000</v>
      </c>
      <c r="M33" s="4">
        <f t="shared" si="9"/>
        <v>136220</v>
      </c>
    </row>
    <row r="34" spans="1:13" ht="11.25">
      <c r="A34" s="412"/>
      <c r="B34" s="122" t="s">
        <v>30</v>
      </c>
      <c r="C34" s="4">
        <f>1400+5050+90</f>
        <v>6540</v>
      </c>
      <c r="D34" s="53"/>
      <c r="E34" s="54"/>
      <c r="F34" s="97">
        <v>3500</v>
      </c>
      <c r="G34" s="208"/>
      <c r="H34" s="208"/>
      <c r="I34" s="208"/>
      <c r="J34" s="209"/>
      <c r="K34" s="11">
        <f t="shared" si="4"/>
        <v>0</v>
      </c>
      <c r="L34" s="5">
        <f t="shared" si="5"/>
        <v>3500</v>
      </c>
      <c r="M34" s="4">
        <f t="shared" si="9"/>
        <v>3040</v>
      </c>
    </row>
    <row r="35" spans="1:13" ht="14.25" customHeight="1">
      <c r="A35" s="412"/>
      <c r="B35" s="306" t="s">
        <v>31</v>
      </c>
      <c r="C35" s="307">
        <f>392440+3054482</f>
        <v>3446922</v>
      </c>
      <c r="D35" s="308"/>
      <c r="E35" s="309"/>
      <c r="F35" s="310">
        <v>600000</v>
      </c>
      <c r="G35" s="311"/>
      <c r="H35" s="311"/>
      <c r="I35" s="311"/>
      <c r="J35" s="309"/>
      <c r="K35" s="313">
        <f t="shared" si="4"/>
        <v>0</v>
      </c>
      <c r="L35" s="314">
        <f t="shared" si="5"/>
        <v>600000</v>
      </c>
      <c r="M35" s="315">
        <f t="shared" si="9"/>
        <v>2846922</v>
      </c>
    </row>
    <row r="36" spans="1:13" ht="13.5" customHeight="1">
      <c r="A36" s="412"/>
      <c r="B36" s="126" t="s">
        <v>32</v>
      </c>
      <c r="C36" s="13">
        <v>75302</v>
      </c>
      <c r="D36" s="59"/>
      <c r="E36" s="60"/>
      <c r="F36" s="99">
        <v>50000</v>
      </c>
      <c r="G36" s="210"/>
      <c r="H36" s="210"/>
      <c r="I36" s="210"/>
      <c r="J36" s="211"/>
      <c r="K36" s="14">
        <f>G36+H36+I36+J36</f>
        <v>0</v>
      </c>
      <c r="L36" s="16">
        <f>D36+E36+F36+K36</f>
        <v>50000</v>
      </c>
      <c r="M36" s="15">
        <f t="shared" si="9"/>
        <v>25302</v>
      </c>
    </row>
    <row r="37" spans="1:13" ht="20.25" customHeight="1">
      <c r="A37" s="412"/>
      <c r="B37" s="127" t="s">
        <v>167</v>
      </c>
      <c r="C37" s="13">
        <v>687273</v>
      </c>
      <c r="D37" s="59"/>
      <c r="E37" s="60"/>
      <c r="F37" s="99">
        <v>420000</v>
      </c>
      <c r="G37" s="210"/>
      <c r="H37" s="210"/>
      <c r="I37" s="210"/>
      <c r="J37" s="211"/>
      <c r="K37" s="14">
        <f>G37+H37+I37+J37</f>
        <v>0</v>
      </c>
      <c r="L37" s="16">
        <f>D37+E37+F37+K37</f>
        <v>420000</v>
      </c>
      <c r="M37" s="15">
        <f t="shared" si="9"/>
        <v>267273</v>
      </c>
    </row>
    <row r="38" spans="1:13" ht="13.5" customHeight="1">
      <c r="A38" s="412"/>
      <c r="B38" s="126" t="s">
        <v>33</v>
      </c>
      <c r="C38" s="13">
        <v>86408</v>
      </c>
      <c r="D38" s="59">
        <v>86408</v>
      </c>
      <c r="E38" s="60"/>
      <c r="F38" s="99"/>
      <c r="G38" s="210"/>
      <c r="H38" s="210"/>
      <c r="I38" s="210"/>
      <c r="J38" s="211"/>
      <c r="K38" s="14">
        <f>G38+H38+I38+J38</f>
        <v>0</v>
      </c>
      <c r="L38" s="16">
        <f>D38+E38+F38+K38</f>
        <v>86408</v>
      </c>
      <c r="M38" s="15"/>
    </row>
    <row r="39" spans="1:13" ht="12.75" customHeight="1">
      <c r="A39" s="412"/>
      <c r="B39" s="126" t="s">
        <v>34</v>
      </c>
      <c r="C39" s="13">
        <v>24350</v>
      </c>
      <c r="D39" s="61"/>
      <c r="E39" s="62"/>
      <c r="F39" s="99">
        <v>24350</v>
      </c>
      <c r="G39" s="210"/>
      <c r="H39" s="210"/>
      <c r="I39" s="210"/>
      <c r="J39" s="211"/>
      <c r="K39" s="14">
        <f>G39+H39+I39+J39</f>
        <v>0</v>
      </c>
      <c r="L39" s="16">
        <f>D39+E39+F39+K39</f>
        <v>24350</v>
      </c>
      <c r="M39" s="15">
        <f t="shared" si="9"/>
        <v>0</v>
      </c>
    </row>
    <row r="40" spans="1:13" ht="22.5" customHeight="1" thickBot="1">
      <c r="A40" s="412"/>
      <c r="B40" s="128" t="s">
        <v>35</v>
      </c>
      <c r="C40" s="17">
        <v>892030</v>
      </c>
      <c r="D40" s="63"/>
      <c r="E40" s="64"/>
      <c r="F40" s="100">
        <v>290000</v>
      </c>
      <c r="G40" s="212"/>
      <c r="H40" s="212"/>
      <c r="I40" s="212"/>
      <c r="J40" s="213"/>
      <c r="K40" s="14">
        <f>G40+H40+I40+J40</f>
        <v>0</v>
      </c>
      <c r="L40" s="16">
        <f>D40+E40+F40+K40</f>
        <v>290000</v>
      </c>
      <c r="M40" s="15">
        <f t="shared" si="9"/>
        <v>602030</v>
      </c>
    </row>
    <row r="41" spans="1:13" ht="13.5" customHeight="1" thickBot="1">
      <c r="A41" s="413"/>
      <c r="B41" s="129" t="s">
        <v>172</v>
      </c>
      <c r="C41" s="130">
        <f>+C13+C39+C40+C37+C36+C38</f>
        <v>13272732</v>
      </c>
      <c r="D41" s="131">
        <f aca="true" t="shared" si="10" ref="D41:M41">+D13+D39+D40+D37+D36+D38</f>
        <v>4116570</v>
      </c>
      <c r="E41" s="132">
        <f t="shared" si="10"/>
        <v>743976</v>
      </c>
      <c r="F41" s="133">
        <f t="shared" si="10"/>
        <v>2878963</v>
      </c>
      <c r="G41" s="214">
        <f t="shared" si="10"/>
        <v>103566</v>
      </c>
      <c r="H41" s="214">
        <f t="shared" si="10"/>
        <v>465618</v>
      </c>
      <c r="I41" s="214">
        <f t="shared" si="10"/>
        <v>473000</v>
      </c>
      <c r="J41" s="215">
        <f t="shared" si="10"/>
        <v>0</v>
      </c>
      <c r="K41" s="231">
        <f t="shared" si="10"/>
        <v>1042184</v>
      </c>
      <c r="L41" s="371">
        <f t="shared" si="10"/>
        <v>8781693</v>
      </c>
      <c r="M41" s="130">
        <f t="shared" si="10"/>
        <v>4491039</v>
      </c>
    </row>
    <row r="42" spans="1:13" ht="13.5" customHeight="1" thickBot="1">
      <c r="A42" s="103"/>
      <c r="B42" s="181"/>
      <c r="C42" s="182"/>
      <c r="D42" s="402" t="s">
        <v>5</v>
      </c>
      <c r="E42" s="403"/>
      <c r="F42" s="403"/>
      <c r="G42" s="403"/>
      <c r="H42" s="403"/>
      <c r="I42" s="403"/>
      <c r="J42" s="403"/>
      <c r="K42" s="403"/>
      <c r="L42" s="404"/>
      <c r="M42" s="405" t="s">
        <v>6</v>
      </c>
    </row>
    <row r="43" spans="1:13" ht="36" customHeight="1" thickBot="1">
      <c r="A43" s="1" t="s">
        <v>7</v>
      </c>
      <c r="B43" s="2" t="s">
        <v>8</v>
      </c>
      <c r="C43" s="3" t="s">
        <v>144</v>
      </c>
      <c r="D43" s="105" t="s">
        <v>153</v>
      </c>
      <c r="E43" s="106" t="s">
        <v>152</v>
      </c>
      <c r="F43" s="105" t="s">
        <v>149</v>
      </c>
      <c r="G43" s="207" t="s">
        <v>148</v>
      </c>
      <c r="H43" s="207" t="s">
        <v>147</v>
      </c>
      <c r="I43" s="207" t="s">
        <v>0</v>
      </c>
      <c r="J43" s="316" t="s">
        <v>1</v>
      </c>
      <c r="K43" s="317" t="s">
        <v>154</v>
      </c>
      <c r="L43" s="370" t="s">
        <v>151</v>
      </c>
      <c r="M43" s="406"/>
    </row>
    <row r="44" spans="1:13" s="135" customFormat="1" ht="16.5" customHeight="1" thickBot="1">
      <c r="A44" s="18" t="s">
        <v>36</v>
      </c>
      <c r="B44" s="134" t="s">
        <v>155</v>
      </c>
      <c r="C44" s="19">
        <v>724050</v>
      </c>
      <c r="D44" s="65">
        <v>724050</v>
      </c>
      <c r="E44" s="66"/>
      <c r="F44" s="92"/>
      <c r="G44" s="216"/>
      <c r="H44" s="216"/>
      <c r="I44" s="216"/>
      <c r="J44" s="217"/>
      <c r="K44" s="89"/>
      <c r="L44" s="372">
        <f>D44+E44+F44+G44+H44+I44</f>
        <v>724050</v>
      </c>
      <c r="M44" s="20">
        <f>C44-D44-E44-F44-G44-H44-I44</f>
        <v>0</v>
      </c>
    </row>
    <row r="45" spans="1:13" ht="24.75" customHeight="1" thickBot="1">
      <c r="A45" s="417" t="s">
        <v>37</v>
      </c>
      <c r="B45" s="121" t="s">
        <v>38</v>
      </c>
      <c r="C45" s="49">
        <f aca="true" t="shared" si="11" ref="C45:M45">SUM(C46:C53)</f>
        <v>552506</v>
      </c>
      <c r="D45" s="136">
        <f t="shared" si="11"/>
        <v>0</v>
      </c>
      <c r="E45" s="137">
        <f t="shared" si="11"/>
        <v>0</v>
      </c>
      <c r="F45" s="136">
        <f t="shared" si="11"/>
        <v>295000</v>
      </c>
      <c r="G45" s="218">
        <f t="shared" si="11"/>
        <v>5000</v>
      </c>
      <c r="H45" s="218">
        <f t="shared" si="11"/>
        <v>33000</v>
      </c>
      <c r="I45" s="218">
        <f t="shared" si="11"/>
        <v>0</v>
      </c>
      <c r="J45" s="219">
        <f t="shared" si="11"/>
        <v>0</v>
      </c>
      <c r="K45" s="152">
        <f>G45+H45+I45+J45</f>
        <v>38000</v>
      </c>
      <c r="L45" s="33">
        <f>D45+E45+F45+K45</f>
        <v>333000</v>
      </c>
      <c r="M45" s="49">
        <f t="shared" si="11"/>
        <v>219506</v>
      </c>
    </row>
    <row r="46" spans="1:13" ht="18.75" customHeight="1">
      <c r="A46" s="418"/>
      <c r="B46" s="125" t="s">
        <v>168</v>
      </c>
      <c r="C46" s="10">
        <v>55000</v>
      </c>
      <c r="D46" s="57"/>
      <c r="E46" s="58"/>
      <c r="F46" s="57">
        <v>55000</v>
      </c>
      <c r="G46" s="220"/>
      <c r="H46" s="220"/>
      <c r="I46" s="221"/>
      <c r="J46" s="222"/>
      <c r="K46" s="11">
        <f>G46+H46+I46+J46</f>
        <v>0</v>
      </c>
      <c r="L46" s="11">
        <f>D46+E46+F46+K46</f>
        <v>55000</v>
      </c>
      <c r="M46" s="4">
        <f aca="true" t="shared" si="12" ref="M46:M53">C46-D46-E46-F46-G46-H46-I46</f>
        <v>0</v>
      </c>
    </row>
    <row r="47" spans="1:13" ht="21.75" customHeight="1">
      <c r="A47" s="418"/>
      <c r="B47" s="139" t="s">
        <v>169</v>
      </c>
      <c r="C47" s="6">
        <v>48000</v>
      </c>
      <c r="D47" s="53"/>
      <c r="E47" s="54"/>
      <c r="F47" s="53">
        <v>10000</v>
      </c>
      <c r="G47" s="208">
        <v>5000</v>
      </c>
      <c r="H47" s="208">
        <v>33000</v>
      </c>
      <c r="I47" s="221"/>
      <c r="J47" s="222"/>
      <c r="K47" s="11">
        <f aca="true" t="shared" si="13" ref="K47:K53">G47+H47+I47+J47</f>
        <v>38000</v>
      </c>
      <c r="L47" s="11">
        <f aca="true" t="shared" si="14" ref="L47:L53">D47+E47+F47+K47</f>
        <v>48000</v>
      </c>
      <c r="M47" s="4">
        <f t="shared" si="12"/>
        <v>0</v>
      </c>
    </row>
    <row r="48" spans="1:13" ht="21.75" customHeight="1">
      <c r="A48" s="418"/>
      <c r="B48" s="139" t="s">
        <v>170</v>
      </c>
      <c r="C48" s="6">
        <f>78655+101086+14481+448+40530-15000-75000</f>
        <v>145200</v>
      </c>
      <c r="D48" s="53"/>
      <c r="E48" s="54"/>
      <c r="F48" s="53">
        <v>100000</v>
      </c>
      <c r="G48" s="208"/>
      <c r="H48" s="208"/>
      <c r="I48" s="221"/>
      <c r="J48" s="222"/>
      <c r="K48" s="11">
        <f t="shared" si="13"/>
        <v>0</v>
      </c>
      <c r="L48" s="11">
        <f t="shared" si="14"/>
        <v>100000</v>
      </c>
      <c r="M48" s="4">
        <f t="shared" si="12"/>
        <v>45200</v>
      </c>
    </row>
    <row r="49" spans="1:13" ht="21.75" customHeight="1">
      <c r="A49" s="418"/>
      <c r="B49" s="139" t="s">
        <v>39</v>
      </c>
      <c r="C49" s="6">
        <v>1500</v>
      </c>
      <c r="D49" s="53"/>
      <c r="E49" s="54"/>
      <c r="F49" s="53">
        <v>1500</v>
      </c>
      <c r="G49" s="208"/>
      <c r="H49" s="208"/>
      <c r="I49" s="221"/>
      <c r="J49" s="222"/>
      <c r="K49" s="11">
        <f t="shared" si="13"/>
        <v>0</v>
      </c>
      <c r="L49" s="11">
        <f t="shared" si="14"/>
        <v>1500</v>
      </c>
      <c r="M49" s="4">
        <f t="shared" si="12"/>
        <v>0</v>
      </c>
    </row>
    <row r="50" spans="1:13" ht="21.75" customHeight="1">
      <c r="A50" s="418"/>
      <c r="B50" s="139" t="s">
        <v>40</v>
      </c>
      <c r="C50" s="6">
        <v>15000</v>
      </c>
      <c r="D50" s="53"/>
      <c r="E50" s="54"/>
      <c r="F50" s="53">
        <v>15000</v>
      </c>
      <c r="G50" s="208"/>
      <c r="H50" s="208"/>
      <c r="I50" s="221"/>
      <c r="J50" s="222"/>
      <c r="K50" s="11">
        <f t="shared" si="13"/>
        <v>0</v>
      </c>
      <c r="L50" s="11">
        <f t="shared" si="14"/>
        <v>15000</v>
      </c>
      <c r="M50" s="4">
        <f t="shared" si="12"/>
        <v>0</v>
      </c>
    </row>
    <row r="51" spans="1:13" ht="21.75" customHeight="1">
      <c r="A51" s="418"/>
      <c r="B51" s="139" t="s">
        <v>41</v>
      </c>
      <c r="C51" s="6">
        <v>20000</v>
      </c>
      <c r="D51" s="53"/>
      <c r="E51" s="54"/>
      <c r="F51" s="53">
        <v>20000</v>
      </c>
      <c r="G51" s="208"/>
      <c r="H51" s="208"/>
      <c r="I51" s="221"/>
      <c r="J51" s="222"/>
      <c r="K51" s="11">
        <f t="shared" si="13"/>
        <v>0</v>
      </c>
      <c r="L51" s="11">
        <f t="shared" si="14"/>
        <v>20000</v>
      </c>
      <c r="M51" s="4">
        <f t="shared" si="12"/>
        <v>0</v>
      </c>
    </row>
    <row r="52" spans="1:13" ht="21.75" customHeight="1">
      <c r="A52" s="418"/>
      <c r="B52" s="140" t="s">
        <v>42</v>
      </c>
      <c r="C52" s="21">
        <v>33500</v>
      </c>
      <c r="D52" s="67"/>
      <c r="E52" s="68"/>
      <c r="F52" s="67">
        <v>23500</v>
      </c>
      <c r="G52" s="223"/>
      <c r="H52" s="223"/>
      <c r="I52" s="221"/>
      <c r="J52" s="222"/>
      <c r="K52" s="11">
        <f t="shared" si="13"/>
        <v>0</v>
      </c>
      <c r="L52" s="11">
        <f t="shared" si="14"/>
        <v>23500</v>
      </c>
      <c r="M52" s="4">
        <f t="shared" si="12"/>
        <v>10000</v>
      </c>
    </row>
    <row r="53" spans="1:13" ht="21.75" customHeight="1" thickBot="1">
      <c r="A53" s="418"/>
      <c r="B53" s="141" t="s">
        <v>171</v>
      </c>
      <c r="C53" s="23">
        <f>207414+26892</f>
        <v>234306</v>
      </c>
      <c r="D53" s="67"/>
      <c r="E53" s="68"/>
      <c r="F53" s="67">
        <v>70000</v>
      </c>
      <c r="G53" s="223"/>
      <c r="H53" s="223"/>
      <c r="I53" s="221"/>
      <c r="J53" s="222"/>
      <c r="K53" s="11">
        <f t="shared" si="13"/>
        <v>0</v>
      </c>
      <c r="L53" s="11">
        <f t="shared" si="14"/>
        <v>70000</v>
      </c>
      <c r="M53" s="4">
        <f t="shared" si="12"/>
        <v>164306</v>
      </c>
    </row>
    <row r="54" spans="1:13" ht="21.75" customHeight="1" thickBot="1">
      <c r="A54" s="418"/>
      <c r="B54" s="121" t="s">
        <v>43</v>
      </c>
      <c r="C54" s="24">
        <f aca="true" t="shared" si="15" ref="C54:H54">+C55+C56</f>
        <v>4236227</v>
      </c>
      <c r="D54" s="69">
        <f t="shared" si="15"/>
        <v>3687442</v>
      </c>
      <c r="E54" s="70"/>
      <c r="F54" s="69">
        <f t="shared" si="15"/>
        <v>484400</v>
      </c>
      <c r="G54" s="224">
        <f t="shared" si="15"/>
        <v>43600</v>
      </c>
      <c r="H54" s="224">
        <f t="shared" si="15"/>
        <v>20785</v>
      </c>
      <c r="I54" s="224">
        <f>+I55+I56</f>
        <v>0</v>
      </c>
      <c r="J54" s="225">
        <f>+J55+J56</f>
        <v>0</v>
      </c>
      <c r="K54" s="25">
        <f aca="true" t="shared" si="16" ref="K54:K59">G54+H54+I54+J54</f>
        <v>64385</v>
      </c>
      <c r="L54" s="33">
        <f aca="true" t="shared" si="17" ref="L54:L59">D54+E54+F54+K54</f>
        <v>4236227</v>
      </c>
      <c r="M54" s="24">
        <f>+M55+M56</f>
        <v>0</v>
      </c>
    </row>
    <row r="55" spans="1:13" ht="21.75" customHeight="1">
      <c r="A55" s="418"/>
      <c r="B55" s="125" t="s">
        <v>44</v>
      </c>
      <c r="C55" s="10">
        <v>1428406</v>
      </c>
      <c r="D55" s="57">
        <v>1428406</v>
      </c>
      <c r="E55" s="58"/>
      <c r="F55" s="57">
        <v>0</v>
      </c>
      <c r="G55" s="220"/>
      <c r="H55" s="220"/>
      <c r="I55" s="220"/>
      <c r="J55" s="226"/>
      <c r="K55" s="11">
        <f t="shared" si="16"/>
        <v>0</v>
      </c>
      <c r="L55" s="11">
        <f t="shared" si="17"/>
        <v>1428406</v>
      </c>
      <c r="M55" s="4">
        <f>C55-D55-E55-F55-G55-H55-I55</f>
        <v>0</v>
      </c>
    </row>
    <row r="56" spans="1:13" ht="21.75" customHeight="1">
      <c r="A56" s="418"/>
      <c r="B56" s="139" t="s">
        <v>45</v>
      </c>
      <c r="C56" s="6">
        <v>2807821</v>
      </c>
      <c r="D56" s="53">
        <v>2259036</v>
      </c>
      <c r="E56" s="54"/>
      <c r="F56" s="53">
        <f>528000-43600</f>
        <v>484400</v>
      </c>
      <c r="G56" s="208">
        <v>43600</v>
      </c>
      <c r="H56" s="208">
        <v>20785</v>
      </c>
      <c r="I56" s="208"/>
      <c r="J56" s="209"/>
      <c r="K56" s="11">
        <f t="shared" si="16"/>
        <v>64385</v>
      </c>
      <c r="L56" s="11">
        <f t="shared" si="17"/>
        <v>2807821</v>
      </c>
      <c r="M56" s="4">
        <f>C56-D56-E56-F56-G56-H56-I56</f>
        <v>0</v>
      </c>
    </row>
    <row r="57" spans="1:13" ht="21.75" customHeight="1">
      <c r="A57" s="418"/>
      <c r="B57" s="126" t="s">
        <v>46</v>
      </c>
      <c r="C57" s="26">
        <v>197025</v>
      </c>
      <c r="D57" s="59">
        <v>197025</v>
      </c>
      <c r="E57" s="62"/>
      <c r="F57" s="61"/>
      <c r="G57" s="208"/>
      <c r="H57" s="208"/>
      <c r="I57" s="208"/>
      <c r="J57" s="209"/>
      <c r="K57" s="16">
        <f t="shared" si="16"/>
        <v>0</v>
      </c>
      <c r="L57" s="16">
        <f t="shared" si="17"/>
        <v>197025</v>
      </c>
      <c r="M57" s="15"/>
    </row>
    <row r="58" spans="1:13" ht="18.75" customHeight="1">
      <c r="A58" s="418"/>
      <c r="B58" s="142" t="s">
        <v>47</v>
      </c>
      <c r="C58" s="27">
        <v>31690</v>
      </c>
      <c r="D58" s="59">
        <v>31690</v>
      </c>
      <c r="E58" s="62"/>
      <c r="F58" s="59"/>
      <c r="G58" s="208"/>
      <c r="H58" s="208"/>
      <c r="I58" s="208"/>
      <c r="J58" s="209"/>
      <c r="K58" s="16">
        <f t="shared" si="16"/>
        <v>0</v>
      </c>
      <c r="L58" s="16">
        <f t="shared" si="17"/>
        <v>31690</v>
      </c>
      <c r="M58" s="15">
        <f>C58-D58-E58-F58-G58-H58-I58</f>
        <v>0</v>
      </c>
    </row>
    <row r="59" spans="1:13" ht="18.75" customHeight="1" thickBot="1">
      <c r="A59" s="418"/>
      <c r="B59" s="143" t="s">
        <v>48</v>
      </c>
      <c r="C59" s="28">
        <v>94544</v>
      </c>
      <c r="D59" s="71">
        <v>94544</v>
      </c>
      <c r="E59" s="72"/>
      <c r="F59" s="71"/>
      <c r="G59" s="232"/>
      <c r="H59" s="223"/>
      <c r="I59" s="223"/>
      <c r="J59" s="227"/>
      <c r="K59" s="16">
        <f t="shared" si="16"/>
        <v>0</v>
      </c>
      <c r="L59" s="16">
        <f t="shared" si="17"/>
        <v>94544</v>
      </c>
      <c r="M59" s="30"/>
    </row>
    <row r="60" spans="1:13" ht="18.75" customHeight="1" thickBot="1">
      <c r="A60" s="413"/>
      <c r="B60" s="144" t="s">
        <v>173</v>
      </c>
      <c r="C60" s="145">
        <f>+C45+C54+C58+C59+C57</f>
        <v>5111992</v>
      </c>
      <c r="D60" s="146">
        <f aca="true" t="shared" si="18" ref="D60:M60">+D45+D54+D58+D59+D57</f>
        <v>4010701</v>
      </c>
      <c r="E60" s="147">
        <f t="shared" si="18"/>
        <v>0</v>
      </c>
      <c r="F60" s="146">
        <f t="shared" si="18"/>
        <v>779400</v>
      </c>
      <c r="G60" s="228">
        <f t="shared" si="18"/>
        <v>48600</v>
      </c>
      <c r="H60" s="228">
        <f t="shared" si="18"/>
        <v>53785</v>
      </c>
      <c r="I60" s="228">
        <f t="shared" si="18"/>
        <v>0</v>
      </c>
      <c r="J60" s="229">
        <f t="shared" si="18"/>
        <v>0</v>
      </c>
      <c r="K60" s="230">
        <f t="shared" si="18"/>
        <v>102385</v>
      </c>
      <c r="L60" s="373">
        <f t="shared" si="18"/>
        <v>4892486</v>
      </c>
      <c r="M60" s="145">
        <f t="shared" si="18"/>
        <v>219506</v>
      </c>
    </row>
    <row r="61" spans="1:13" ht="13.5" customHeight="1" thickBot="1">
      <c r="A61" s="103"/>
      <c r="B61" s="181"/>
      <c r="C61" s="182"/>
      <c r="D61" s="402" t="s">
        <v>5</v>
      </c>
      <c r="E61" s="403"/>
      <c r="F61" s="403"/>
      <c r="G61" s="403"/>
      <c r="H61" s="403"/>
      <c r="I61" s="403"/>
      <c r="J61" s="403"/>
      <c r="K61" s="403"/>
      <c r="L61" s="404"/>
      <c r="M61" s="405" t="s">
        <v>6</v>
      </c>
    </row>
    <row r="62" spans="1:13" ht="36" customHeight="1" thickBot="1">
      <c r="A62" s="1" t="s">
        <v>7</v>
      </c>
      <c r="B62" s="2" t="s">
        <v>8</v>
      </c>
      <c r="C62" s="3" t="s">
        <v>144</v>
      </c>
      <c r="D62" s="105" t="s">
        <v>153</v>
      </c>
      <c r="E62" s="106" t="s">
        <v>152</v>
      </c>
      <c r="F62" s="105" t="s">
        <v>149</v>
      </c>
      <c r="G62" s="233" t="s">
        <v>148</v>
      </c>
      <c r="H62" s="233" t="s">
        <v>147</v>
      </c>
      <c r="I62" s="233" t="s">
        <v>0</v>
      </c>
      <c r="J62" s="318" t="s">
        <v>1</v>
      </c>
      <c r="K62" s="317" t="s">
        <v>154</v>
      </c>
      <c r="L62" s="370" t="s">
        <v>151</v>
      </c>
      <c r="M62" s="406"/>
    </row>
    <row r="63" spans="1:13" ht="18.75" customHeight="1">
      <c r="A63" s="411" t="s">
        <v>49</v>
      </c>
      <c r="B63" s="148" t="s">
        <v>50</v>
      </c>
      <c r="C63" s="31"/>
      <c r="D63" s="57"/>
      <c r="E63" s="58"/>
      <c r="F63" s="52"/>
      <c r="G63" s="234"/>
      <c r="H63" s="234"/>
      <c r="I63" s="234"/>
      <c r="J63" s="235"/>
      <c r="K63" s="11">
        <f>G63+H63+I63+J63</f>
        <v>0</v>
      </c>
      <c r="L63" s="5">
        <f>D63+E63+F63+K63</f>
        <v>0</v>
      </c>
      <c r="M63" s="4">
        <f>C63-D63-E63-F63-G63-H63-I63</f>
        <v>0</v>
      </c>
    </row>
    <row r="64" spans="1:13" ht="18.75" customHeight="1">
      <c r="A64" s="412"/>
      <c r="B64" s="149" t="s">
        <v>51</v>
      </c>
      <c r="C64" s="13">
        <v>170000</v>
      </c>
      <c r="D64" s="61"/>
      <c r="E64" s="62"/>
      <c r="F64" s="59">
        <v>170000</v>
      </c>
      <c r="G64" s="236"/>
      <c r="H64" s="236"/>
      <c r="I64" s="236"/>
      <c r="J64" s="237"/>
      <c r="K64" s="16">
        <f>G64+H64+I64+J64</f>
        <v>0</v>
      </c>
      <c r="L64" s="14">
        <f>D64+E64+F64+K64</f>
        <v>170000</v>
      </c>
      <c r="M64" s="15">
        <f>C64-D64-E64-F64-G64-H64-I64</f>
        <v>0</v>
      </c>
    </row>
    <row r="65" spans="1:13" ht="18.75" customHeight="1" thickBot="1">
      <c r="A65" s="412"/>
      <c r="B65" s="150" t="s">
        <v>52</v>
      </c>
      <c r="C65" s="32">
        <v>40000</v>
      </c>
      <c r="D65" s="73"/>
      <c r="E65" s="72"/>
      <c r="F65" s="71">
        <v>40000</v>
      </c>
      <c r="G65" s="232"/>
      <c r="H65" s="232"/>
      <c r="I65" s="232"/>
      <c r="J65" s="238"/>
      <c r="K65" s="16">
        <f>G65+H65+I65+J65</f>
        <v>0</v>
      </c>
      <c r="L65" s="14">
        <f>D65+E65+F65+K65</f>
        <v>40000</v>
      </c>
      <c r="M65" s="15">
        <f>C65-D65-E65-F65-G65-H65-I65</f>
        <v>0</v>
      </c>
    </row>
    <row r="66" spans="1:13" ht="18.75" customHeight="1" thickBot="1">
      <c r="A66" s="412"/>
      <c r="B66" s="121" t="s">
        <v>53</v>
      </c>
      <c r="C66" s="24">
        <f aca="true" t="shared" si="19" ref="C66:H66">+C67+C68+C69</f>
        <v>165893</v>
      </c>
      <c r="D66" s="50">
        <f t="shared" si="19"/>
        <v>150893</v>
      </c>
      <c r="E66" s="51">
        <f t="shared" si="19"/>
        <v>0</v>
      </c>
      <c r="F66" s="50">
        <f t="shared" si="19"/>
        <v>15000</v>
      </c>
      <c r="G66" s="239">
        <f t="shared" si="19"/>
        <v>0</v>
      </c>
      <c r="H66" s="239">
        <f t="shared" si="19"/>
        <v>0</v>
      </c>
      <c r="I66" s="239">
        <f>+I67+I68+I69</f>
        <v>0</v>
      </c>
      <c r="J66" s="240">
        <f>+J67+J68+J69</f>
        <v>0</v>
      </c>
      <c r="K66" s="34">
        <f>K67+K68+K69</f>
        <v>0</v>
      </c>
      <c r="L66" s="90">
        <f>+L67+L68+L69</f>
        <v>165893</v>
      </c>
      <c r="M66" s="34">
        <f>+M67+M68+M69</f>
        <v>0</v>
      </c>
    </row>
    <row r="67" spans="1:13" ht="22.5" customHeight="1">
      <c r="A67" s="412"/>
      <c r="B67" s="125" t="s">
        <v>54</v>
      </c>
      <c r="C67" s="10">
        <v>86947</v>
      </c>
      <c r="D67" s="57">
        <v>86947</v>
      </c>
      <c r="E67" s="58"/>
      <c r="F67" s="57"/>
      <c r="G67" s="234"/>
      <c r="H67" s="234"/>
      <c r="I67" s="241"/>
      <c r="J67" s="242"/>
      <c r="K67" s="5">
        <f>G67+H67+I67+J67</f>
        <v>0</v>
      </c>
      <c r="L67" s="5">
        <f>D67+E67+F67+K67</f>
        <v>86947</v>
      </c>
      <c r="M67" s="4">
        <f>C67-D67-E67-F67-G67-H67-I67</f>
        <v>0</v>
      </c>
    </row>
    <row r="68" spans="1:13" ht="18.75" customHeight="1">
      <c r="A68" s="412"/>
      <c r="B68" s="139" t="s">
        <v>55</v>
      </c>
      <c r="C68" s="6">
        <v>15000</v>
      </c>
      <c r="D68" s="53"/>
      <c r="E68" s="54"/>
      <c r="F68" s="53">
        <v>15000</v>
      </c>
      <c r="G68" s="236"/>
      <c r="H68" s="236"/>
      <c r="I68" s="241"/>
      <c r="J68" s="242"/>
      <c r="K68" s="5">
        <f>G68+H68+I68+J68</f>
        <v>0</v>
      </c>
      <c r="L68" s="5">
        <f>D68+E68+F68+K68</f>
        <v>15000</v>
      </c>
      <c r="M68" s="4">
        <f>C68-D68-E68-F68-G68-H68-I68</f>
        <v>0</v>
      </c>
    </row>
    <row r="69" spans="1:13" ht="18.75" customHeight="1" thickBot="1">
      <c r="A69" s="412"/>
      <c r="B69" s="141" t="s">
        <v>56</v>
      </c>
      <c r="C69" s="23">
        <v>63946</v>
      </c>
      <c r="D69" s="67">
        <v>63946</v>
      </c>
      <c r="E69" s="68"/>
      <c r="F69" s="67"/>
      <c r="G69" s="232"/>
      <c r="H69" s="232"/>
      <c r="I69" s="241"/>
      <c r="J69" s="242"/>
      <c r="K69" s="5">
        <f>G69+H69+I69+J69</f>
        <v>0</v>
      </c>
      <c r="L69" s="5">
        <f>D69+E69+F69+K69</f>
        <v>63946</v>
      </c>
      <c r="M69" s="4">
        <f>C69-D69-E69-F69-G69-H69-I69</f>
        <v>0</v>
      </c>
    </row>
    <row r="70" spans="1:13" ht="18" customHeight="1" thickBot="1">
      <c r="A70" s="412"/>
      <c r="B70" s="121" t="s">
        <v>57</v>
      </c>
      <c r="C70" s="49">
        <f>SUM(C71:C94)</f>
        <v>12411176.673363427</v>
      </c>
      <c r="D70" s="136">
        <f>SUM(D71:D94)</f>
        <v>12411178.673363427</v>
      </c>
      <c r="E70" s="137">
        <f>1611890+1650</f>
        <v>1613540</v>
      </c>
      <c r="F70" s="136">
        <f aca="true" t="shared" si="20" ref="F70:K70">SUM(F71:F94)</f>
        <v>0</v>
      </c>
      <c r="G70" s="243">
        <f t="shared" si="20"/>
        <v>0</v>
      </c>
      <c r="H70" s="243">
        <f t="shared" si="20"/>
        <v>0</v>
      </c>
      <c r="I70" s="243">
        <f t="shared" si="20"/>
        <v>0</v>
      </c>
      <c r="J70" s="244">
        <f t="shared" si="20"/>
        <v>0</v>
      </c>
      <c r="K70" s="152">
        <f t="shared" si="20"/>
        <v>0</v>
      </c>
      <c r="L70" s="33">
        <f>D70+E70+F70+K70</f>
        <v>14024718.673363427</v>
      </c>
      <c r="M70" s="49">
        <f>SUM(M71:M94)</f>
        <v>-2</v>
      </c>
    </row>
    <row r="71" spans="1:13" ht="11.25">
      <c r="A71" s="412"/>
      <c r="B71" s="35" t="s">
        <v>58</v>
      </c>
      <c r="C71" s="6">
        <v>719949</v>
      </c>
      <c r="D71" s="53">
        <v>719949</v>
      </c>
      <c r="E71" s="54"/>
      <c r="F71" s="53"/>
      <c r="G71" s="236"/>
      <c r="H71" s="236"/>
      <c r="I71" s="241"/>
      <c r="J71" s="242"/>
      <c r="K71" s="11">
        <f>G71+H71+I71+J71</f>
        <v>0</v>
      </c>
      <c r="L71" s="11">
        <f>D71+E71+F71+K71</f>
        <v>719949</v>
      </c>
      <c r="M71" s="4">
        <f aca="true" t="shared" si="21" ref="M71:M94">C71-D71-E71-F71-G71-H71-I71</f>
        <v>0</v>
      </c>
    </row>
    <row r="72" spans="1:13" ht="11.25">
      <c r="A72" s="412"/>
      <c r="B72" s="35" t="s">
        <v>59</v>
      </c>
      <c r="C72" s="6">
        <v>1314365</v>
      </c>
      <c r="D72" s="53">
        <v>1314365</v>
      </c>
      <c r="E72" s="54"/>
      <c r="F72" s="53"/>
      <c r="G72" s="236"/>
      <c r="H72" s="236"/>
      <c r="I72" s="241"/>
      <c r="J72" s="242"/>
      <c r="K72" s="11">
        <f aca="true" t="shared" si="22" ref="K72:K94">G72+H72+I72+J72</f>
        <v>0</v>
      </c>
      <c r="L72" s="11">
        <f aca="true" t="shared" si="23" ref="L72:L94">D72+E72+F72+K72</f>
        <v>1314365</v>
      </c>
      <c r="M72" s="4">
        <f t="shared" si="21"/>
        <v>0</v>
      </c>
    </row>
    <row r="73" spans="1:13" ht="11.25">
      <c r="A73" s="412"/>
      <c r="B73" s="35" t="s">
        <v>60</v>
      </c>
      <c r="C73" s="6">
        <v>962788</v>
      </c>
      <c r="D73" s="53">
        <v>962788</v>
      </c>
      <c r="E73" s="54"/>
      <c r="F73" s="53"/>
      <c r="G73" s="236"/>
      <c r="H73" s="236"/>
      <c r="I73" s="241"/>
      <c r="J73" s="242"/>
      <c r="K73" s="11">
        <f t="shared" si="22"/>
        <v>0</v>
      </c>
      <c r="L73" s="11">
        <f t="shared" si="23"/>
        <v>962788</v>
      </c>
      <c r="M73" s="4">
        <f t="shared" si="21"/>
        <v>0</v>
      </c>
    </row>
    <row r="74" spans="1:13" ht="11.25">
      <c r="A74" s="412"/>
      <c r="B74" s="35" t="s">
        <v>61</v>
      </c>
      <c r="C74" s="23">
        <v>766382</v>
      </c>
      <c r="D74" s="67">
        <v>766382</v>
      </c>
      <c r="E74" s="68"/>
      <c r="F74" s="67"/>
      <c r="G74" s="236"/>
      <c r="H74" s="236"/>
      <c r="I74" s="241"/>
      <c r="J74" s="242"/>
      <c r="K74" s="11">
        <f t="shared" si="22"/>
        <v>0</v>
      </c>
      <c r="L74" s="11">
        <f t="shared" si="23"/>
        <v>766382</v>
      </c>
      <c r="M74" s="4">
        <f t="shared" si="21"/>
        <v>0</v>
      </c>
    </row>
    <row r="75" spans="1:13" ht="11.25">
      <c r="A75" s="412"/>
      <c r="B75" s="35" t="s">
        <v>62</v>
      </c>
      <c r="C75" s="6">
        <v>528525</v>
      </c>
      <c r="D75" s="53">
        <v>528525</v>
      </c>
      <c r="E75" s="54"/>
      <c r="F75" s="53"/>
      <c r="G75" s="236"/>
      <c r="H75" s="236"/>
      <c r="I75" s="241"/>
      <c r="J75" s="242"/>
      <c r="K75" s="11">
        <f t="shared" si="22"/>
        <v>0</v>
      </c>
      <c r="L75" s="11">
        <f t="shared" si="23"/>
        <v>528525</v>
      </c>
      <c r="M75" s="4">
        <f t="shared" si="21"/>
        <v>0</v>
      </c>
    </row>
    <row r="76" spans="1:13" ht="11.25">
      <c r="A76" s="412"/>
      <c r="B76" s="36" t="s">
        <v>63</v>
      </c>
      <c r="C76" s="6">
        <v>694479.3006003639</v>
      </c>
      <c r="D76" s="74">
        <v>694479.3006003639</v>
      </c>
      <c r="E76" s="54"/>
      <c r="F76" s="53"/>
      <c r="G76" s="236"/>
      <c r="H76" s="236"/>
      <c r="I76" s="241"/>
      <c r="J76" s="242"/>
      <c r="K76" s="11">
        <f t="shared" si="22"/>
        <v>0</v>
      </c>
      <c r="L76" s="11">
        <f t="shared" si="23"/>
        <v>694479.3006003639</v>
      </c>
      <c r="M76" s="4">
        <f t="shared" si="21"/>
        <v>0</v>
      </c>
    </row>
    <row r="77" spans="1:13" ht="11.25">
      <c r="A77" s="412"/>
      <c r="B77" s="35" t="s">
        <v>64</v>
      </c>
      <c r="C77" s="6">
        <v>181392.846386285</v>
      </c>
      <c r="D77" s="74">
        <v>181392.846386285</v>
      </c>
      <c r="E77" s="54"/>
      <c r="F77" s="53"/>
      <c r="G77" s="236"/>
      <c r="H77" s="236"/>
      <c r="I77" s="241"/>
      <c r="J77" s="242"/>
      <c r="K77" s="11">
        <f t="shared" si="22"/>
        <v>0</v>
      </c>
      <c r="L77" s="11">
        <f t="shared" si="23"/>
        <v>181392.846386285</v>
      </c>
      <c r="M77" s="4">
        <f t="shared" si="21"/>
        <v>0</v>
      </c>
    </row>
    <row r="78" spans="1:13" ht="11.25">
      <c r="A78" s="412"/>
      <c r="B78" s="35" t="s">
        <v>65</v>
      </c>
      <c r="C78" s="6">
        <v>441740.7274102732</v>
      </c>
      <c r="D78" s="74">
        <v>441740.7274102732</v>
      </c>
      <c r="E78" s="54"/>
      <c r="F78" s="53"/>
      <c r="G78" s="236"/>
      <c r="H78" s="236"/>
      <c r="I78" s="241"/>
      <c r="J78" s="242"/>
      <c r="K78" s="11">
        <f t="shared" si="22"/>
        <v>0</v>
      </c>
      <c r="L78" s="11">
        <f t="shared" si="23"/>
        <v>441740.7274102732</v>
      </c>
      <c r="M78" s="4">
        <f t="shared" si="21"/>
        <v>0</v>
      </c>
    </row>
    <row r="79" spans="1:13" ht="11.25">
      <c r="A79" s="412"/>
      <c r="B79" s="35" t="s">
        <v>66</v>
      </c>
      <c r="C79" s="6">
        <v>319904.93177615246</v>
      </c>
      <c r="D79" s="74">
        <v>319904.93177615246</v>
      </c>
      <c r="E79" s="54"/>
      <c r="F79" s="53"/>
      <c r="G79" s="236"/>
      <c r="H79" s="236"/>
      <c r="I79" s="241"/>
      <c r="J79" s="242"/>
      <c r="K79" s="11">
        <f t="shared" si="22"/>
        <v>0</v>
      </c>
      <c r="L79" s="11">
        <f t="shared" si="23"/>
        <v>319904.93177615246</v>
      </c>
      <c r="M79" s="4">
        <f t="shared" si="21"/>
        <v>0</v>
      </c>
    </row>
    <row r="80" spans="1:13" ht="11.25">
      <c r="A80" s="412"/>
      <c r="B80" s="35" t="s">
        <v>67</v>
      </c>
      <c r="C80" s="6">
        <v>1497380.9691192661</v>
      </c>
      <c r="D80" s="74">
        <v>1497380.9691192661</v>
      </c>
      <c r="E80" s="54"/>
      <c r="F80" s="53"/>
      <c r="G80" s="236"/>
      <c r="H80" s="236"/>
      <c r="I80" s="241"/>
      <c r="J80" s="242"/>
      <c r="K80" s="11">
        <f t="shared" si="22"/>
        <v>0</v>
      </c>
      <c r="L80" s="11">
        <f t="shared" si="23"/>
        <v>1497380.9691192661</v>
      </c>
      <c r="M80" s="4">
        <f t="shared" si="21"/>
        <v>0</v>
      </c>
    </row>
    <row r="81" spans="1:13" ht="11.25">
      <c r="A81" s="412"/>
      <c r="B81" s="35" t="s">
        <v>68</v>
      </c>
      <c r="C81" s="6">
        <v>570971.5425006452</v>
      </c>
      <c r="D81" s="74">
        <v>570971.5425006452</v>
      </c>
      <c r="E81" s="54"/>
      <c r="F81" s="53"/>
      <c r="G81" s="236"/>
      <c r="H81" s="236"/>
      <c r="I81" s="241"/>
      <c r="J81" s="242"/>
      <c r="K81" s="11">
        <f t="shared" si="22"/>
        <v>0</v>
      </c>
      <c r="L81" s="11">
        <f t="shared" si="23"/>
        <v>570971.5425006452</v>
      </c>
      <c r="M81" s="4">
        <f t="shared" si="21"/>
        <v>0</v>
      </c>
    </row>
    <row r="82" spans="1:13" ht="11.25">
      <c r="A82" s="412"/>
      <c r="B82" s="35" t="s">
        <v>69</v>
      </c>
      <c r="C82" s="6">
        <v>248292.8522158284</v>
      </c>
      <c r="D82" s="74">
        <v>248292.8522158284</v>
      </c>
      <c r="E82" s="54"/>
      <c r="F82" s="53"/>
      <c r="G82" s="236"/>
      <c r="H82" s="236"/>
      <c r="I82" s="241"/>
      <c r="J82" s="242"/>
      <c r="K82" s="11">
        <f t="shared" si="22"/>
        <v>0</v>
      </c>
      <c r="L82" s="11">
        <f t="shared" si="23"/>
        <v>248292.8522158284</v>
      </c>
      <c r="M82" s="4">
        <f t="shared" si="21"/>
        <v>0</v>
      </c>
    </row>
    <row r="83" spans="1:13" ht="11.25">
      <c r="A83" s="412"/>
      <c r="B83" s="35" t="s">
        <v>70</v>
      </c>
      <c r="C83" s="6">
        <v>253648.8485844278</v>
      </c>
      <c r="D83" s="74">
        <v>253648.8485844278</v>
      </c>
      <c r="E83" s="54"/>
      <c r="F83" s="53"/>
      <c r="G83" s="236"/>
      <c r="H83" s="236"/>
      <c r="I83" s="241"/>
      <c r="J83" s="242"/>
      <c r="K83" s="11">
        <f t="shared" si="22"/>
        <v>0</v>
      </c>
      <c r="L83" s="11">
        <f t="shared" si="23"/>
        <v>253648.8485844278</v>
      </c>
      <c r="M83" s="4">
        <f t="shared" si="21"/>
        <v>0</v>
      </c>
    </row>
    <row r="84" spans="1:13" ht="11.25">
      <c r="A84" s="412"/>
      <c r="B84" s="35" t="s">
        <v>71</v>
      </c>
      <c r="C84" s="6">
        <v>160750.45909011026</v>
      </c>
      <c r="D84" s="74">
        <v>160750.45909011026</v>
      </c>
      <c r="E84" s="54"/>
      <c r="F84" s="53"/>
      <c r="G84" s="236"/>
      <c r="H84" s="236"/>
      <c r="I84" s="241"/>
      <c r="J84" s="242"/>
      <c r="K84" s="11">
        <f t="shared" si="22"/>
        <v>0</v>
      </c>
      <c r="L84" s="11">
        <f t="shared" si="23"/>
        <v>160750.45909011026</v>
      </c>
      <c r="M84" s="4">
        <f t="shared" si="21"/>
        <v>0</v>
      </c>
    </row>
    <row r="85" spans="1:13" ht="11.25">
      <c r="A85" s="412"/>
      <c r="B85" s="35" t="s">
        <v>72</v>
      </c>
      <c r="C85" s="6">
        <v>691119.7338782835</v>
      </c>
      <c r="D85" s="74">
        <v>691119.7338782835</v>
      </c>
      <c r="E85" s="54"/>
      <c r="F85" s="53"/>
      <c r="G85" s="236"/>
      <c r="H85" s="236"/>
      <c r="I85" s="241"/>
      <c r="J85" s="242"/>
      <c r="K85" s="11">
        <f t="shared" si="22"/>
        <v>0</v>
      </c>
      <c r="L85" s="11">
        <f t="shared" si="23"/>
        <v>691119.7338782835</v>
      </c>
      <c r="M85" s="4">
        <f t="shared" si="21"/>
        <v>0</v>
      </c>
    </row>
    <row r="86" spans="1:13" ht="11.25">
      <c r="A86" s="412"/>
      <c r="B86" s="35" t="s">
        <v>73</v>
      </c>
      <c r="C86" s="6">
        <v>940227</v>
      </c>
      <c r="D86" s="74">
        <v>940227</v>
      </c>
      <c r="E86" s="54"/>
      <c r="F86" s="53"/>
      <c r="G86" s="236"/>
      <c r="H86" s="236"/>
      <c r="I86" s="241"/>
      <c r="J86" s="242"/>
      <c r="K86" s="11">
        <f t="shared" si="22"/>
        <v>0</v>
      </c>
      <c r="L86" s="11">
        <f t="shared" si="23"/>
        <v>940227</v>
      </c>
      <c r="M86" s="4">
        <f t="shared" si="21"/>
        <v>0</v>
      </c>
    </row>
    <row r="87" spans="1:13" ht="22.5">
      <c r="A87" s="412"/>
      <c r="B87" s="35" t="s">
        <v>74</v>
      </c>
      <c r="C87" s="6">
        <v>134662.7620427024</v>
      </c>
      <c r="D87" s="74">
        <v>134662.7620427024</v>
      </c>
      <c r="E87" s="54"/>
      <c r="F87" s="53"/>
      <c r="G87" s="236"/>
      <c r="H87" s="236"/>
      <c r="I87" s="241"/>
      <c r="J87" s="242"/>
      <c r="K87" s="11">
        <f t="shared" si="22"/>
        <v>0</v>
      </c>
      <c r="L87" s="11">
        <f t="shared" si="23"/>
        <v>134662.7620427024</v>
      </c>
      <c r="M87" s="4">
        <f t="shared" si="21"/>
        <v>0</v>
      </c>
    </row>
    <row r="88" spans="1:13" ht="11.25">
      <c r="A88" s="412"/>
      <c r="B88" s="35" t="s">
        <v>75</v>
      </c>
      <c r="C88" s="6">
        <v>209147.26336697748</v>
      </c>
      <c r="D88" s="74">
        <v>209147.26336697748</v>
      </c>
      <c r="E88" s="54"/>
      <c r="F88" s="53"/>
      <c r="G88" s="236"/>
      <c r="H88" s="236"/>
      <c r="I88" s="241"/>
      <c r="J88" s="242"/>
      <c r="K88" s="11">
        <f t="shared" si="22"/>
        <v>0</v>
      </c>
      <c r="L88" s="11">
        <f t="shared" si="23"/>
        <v>209147.26336697748</v>
      </c>
      <c r="M88" s="4">
        <f t="shared" si="21"/>
        <v>0</v>
      </c>
    </row>
    <row r="89" spans="1:13" ht="11.25">
      <c r="A89" s="412"/>
      <c r="B89" s="35" t="s">
        <v>76</v>
      </c>
      <c r="C89" s="6">
        <v>42318.43639211261</v>
      </c>
      <c r="D89" s="74">
        <v>42318.43639211261</v>
      </c>
      <c r="E89" s="54"/>
      <c r="F89" s="53"/>
      <c r="G89" s="236"/>
      <c r="H89" s="236"/>
      <c r="I89" s="241"/>
      <c r="J89" s="242"/>
      <c r="K89" s="11">
        <f t="shared" si="22"/>
        <v>0</v>
      </c>
      <c r="L89" s="11">
        <f t="shared" si="23"/>
        <v>42318.43639211261</v>
      </c>
      <c r="M89" s="4">
        <f t="shared" si="21"/>
        <v>0</v>
      </c>
    </row>
    <row r="90" spans="1:13" ht="12" customHeight="1" hidden="1">
      <c r="A90" s="412"/>
      <c r="B90" s="35"/>
      <c r="C90" s="6"/>
      <c r="D90" s="53"/>
      <c r="E90" s="54"/>
      <c r="F90" s="53"/>
      <c r="G90" s="236"/>
      <c r="H90" s="236"/>
      <c r="I90" s="241"/>
      <c r="J90" s="242"/>
      <c r="K90" s="11">
        <f t="shared" si="22"/>
        <v>0</v>
      </c>
      <c r="L90" s="11">
        <f t="shared" si="23"/>
        <v>0</v>
      </c>
      <c r="M90" s="4">
        <f t="shared" si="21"/>
        <v>0</v>
      </c>
    </row>
    <row r="91" spans="1:13" ht="15" customHeight="1">
      <c r="A91" s="412"/>
      <c r="B91" s="139" t="s">
        <v>77</v>
      </c>
      <c r="C91" s="6">
        <v>144014</v>
      </c>
      <c r="D91" s="53">
        <v>144014</v>
      </c>
      <c r="E91" s="54"/>
      <c r="F91" s="53"/>
      <c r="G91" s="236"/>
      <c r="H91" s="236"/>
      <c r="I91" s="241"/>
      <c r="J91" s="242"/>
      <c r="K91" s="11">
        <f t="shared" si="22"/>
        <v>0</v>
      </c>
      <c r="L91" s="11">
        <f t="shared" si="23"/>
        <v>144014</v>
      </c>
      <c r="M91" s="4">
        <f t="shared" si="21"/>
        <v>0</v>
      </c>
    </row>
    <row r="92" spans="1:13" ht="22.5">
      <c r="A92" s="412"/>
      <c r="B92" s="139" t="s">
        <v>78</v>
      </c>
      <c r="C92" s="6">
        <v>904614</v>
      </c>
      <c r="D92" s="53">
        <v>904614</v>
      </c>
      <c r="E92" s="54"/>
      <c r="F92" s="53"/>
      <c r="G92" s="236"/>
      <c r="H92" s="236"/>
      <c r="I92" s="241"/>
      <c r="J92" s="242"/>
      <c r="K92" s="11">
        <f t="shared" si="22"/>
        <v>0</v>
      </c>
      <c r="L92" s="11">
        <f t="shared" si="23"/>
        <v>904614</v>
      </c>
      <c r="M92" s="4">
        <f t="shared" si="21"/>
        <v>0</v>
      </c>
    </row>
    <row r="93" spans="1:13" ht="14.25" customHeight="1">
      <c r="A93" s="412"/>
      <c r="B93" s="151" t="s">
        <v>79</v>
      </c>
      <c r="C93" s="6">
        <v>443306</v>
      </c>
      <c r="D93" s="53">
        <v>443306</v>
      </c>
      <c r="E93" s="54"/>
      <c r="F93" s="53"/>
      <c r="G93" s="236"/>
      <c r="H93" s="236"/>
      <c r="I93" s="241"/>
      <c r="J93" s="242"/>
      <c r="K93" s="11">
        <f t="shared" si="22"/>
        <v>0</v>
      </c>
      <c r="L93" s="11">
        <f t="shared" si="23"/>
        <v>443306</v>
      </c>
      <c r="M93" s="4">
        <f t="shared" si="21"/>
        <v>0</v>
      </c>
    </row>
    <row r="94" spans="1:13" ht="12" thickBot="1">
      <c r="A94" s="412"/>
      <c r="B94" s="37" t="s">
        <v>80</v>
      </c>
      <c r="C94" s="6">
        <v>241196</v>
      </c>
      <c r="D94" s="53">
        <v>241198</v>
      </c>
      <c r="E94" s="54"/>
      <c r="F94" s="53"/>
      <c r="G94" s="236"/>
      <c r="H94" s="236"/>
      <c r="I94" s="241"/>
      <c r="J94" s="242"/>
      <c r="K94" s="11">
        <f t="shared" si="22"/>
        <v>0</v>
      </c>
      <c r="L94" s="11">
        <f t="shared" si="23"/>
        <v>241198</v>
      </c>
      <c r="M94" s="4">
        <f t="shared" si="21"/>
        <v>-2</v>
      </c>
    </row>
    <row r="95" spans="1:13" ht="13.5" thickBot="1">
      <c r="A95" s="419"/>
      <c r="B95" s="129" t="s">
        <v>81</v>
      </c>
      <c r="C95" s="38">
        <f aca="true" t="shared" si="24" ref="C95:K95">+C63+C64+C65+C66+C70</f>
        <v>12787069.673363427</v>
      </c>
      <c r="D95" s="75">
        <f t="shared" si="24"/>
        <v>12562071.673363427</v>
      </c>
      <c r="E95" s="76">
        <f t="shared" si="24"/>
        <v>1613540</v>
      </c>
      <c r="F95" s="75">
        <f t="shared" si="24"/>
        <v>225000</v>
      </c>
      <c r="G95" s="75">
        <f t="shared" si="24"/>
        <v>0</v>
      </c>
      <c r="H95" s="75">
        <f t="shared" si="24"/>
        <v>0</v>
      </c>
      <c r="I95" s="75">
        <f t="shared" si="24"/>
        <v>0</v>
      </c>
      <c r="J95" s="319">
        <f t="shared" si="24"/>
        <v>0</v>
      </c>
      <c r="K95" s="76">
        <f t="shared" si="24"/>
        <v>0</v>
      </c>
      <c r="L95" s="374">
        <f>L66+L70+L64+L65+L63</f>
        <v>14400611.673363427</v>
      </c>
      <c r="M95" s="38">
        <f>+M63+M64+M65+M66+M70</f>
        <v>-2</v>
      </c>
    </row>
    <row r="96" spans="1:13" ht="13.5" customHeight="1" thickBot="1">
      <c r="A96" s="103"/>
      <c r="B96" s="181"/>
      <c r="C96" s="182"/>
      <c r="D96" s="402" t="s">
        <v>5</v>
      </c>
      <c r="E96" s="403"/>
      <c r="F96" s="403"/>
      <c r="G96" s="403"/>
      <c r="H96" s="403"/>
      <c r="I96" s="403"/>
      <c r="J96" s="403"/>
      <c r="K96" s="403"/>
      <c r="L96" s="404"/>
      <c r="M96" s="405" t="s">
        <v>6</v>
      </c>
    </row>
    <row r="97" spans="1:13" ht="36" customHeight="1" thickBot="1">
      <c r="A97" s="1" t="s">
        <v>7</v>
      </c>
      <c r="B97" s="2" t="s">
        <v>8</v>
      </c>
      <c r="C97" s="3" t="s">
        <v>144</v>
      </c>
      <c r="D97" s="105" t="s">
        <v>153</v>
      </c>
      <c r="E97" s="106" t="s">
        <v>152</v>
      </c>
      <c r="F97" s="105" t="s">
        <v>149</v>
      </c>
      <c r="G97" s="233" t="s">
        <v>148</v>
      </c>
      <c r="H97" s="233" t="s">
        <v>147</v>
      </c>
      <c r="I97" s="233" t="s">
        <v>0</v>
      </c>
      <c r="J97" s="318" t="s">
        <v>1</v>
      </c>
      <c r="K97" s="317" t="s">
        <v>154</v>
      </c>
      <c r="L97" s="370" t="s">
        <v>151</v>
      </c>
      <c r="M97" s="406"/>
    </row>
    <row r="98" spans="1:13" ht="16.5" customHeight="1" thickBot="1">
      <c r="A98" s="411" t="s">
        <v>82</v>
      </c>
      <c r="B98" s="121" t="s">
        <v>83</v>
      </c>
      <c r="C98" s="49">
        <f aca="true" t="shared" si="25" ref="C98:M98">SUM(C99:C115)</f>
        <v>16509112.202722428</v>
      </c>
      <c r="D98" s="136">
        <f t="shared" si="25"/>
        <v>16506214.202722428</v>
      </c>
      <c r="E98" s="137">
        <f t="shared" si="25"/>
        <v>0</v>
      </c>
      <c r="F98" s="136">
        <f t="shared" si="25"/>
        <v>2900</v>
      </c>
      <c r="G98" s="243">
        <f t="shared" si="25"/>
        <v>0</v>
      </c>
      <c r="H98" s="243">
        <f t="shared" si="25"/>
        <v>0</v>
      </c>
      <c r="I98" s="243">
        <f t="shared" si="25"/>
        <v>0</v>
      </c>
      <c r="J98" s="244">
        <f t="shared" si="25"/>
        <v>0</v>
      </c>
      <c r="K98" s="152"/>
      <c r="L98" s="152">
        <f t="shared" si="25"/>
        <v>16509114.202722428</v>
      </c>
      <c r="M98" s="49">
        <f t="shared" si="25"/>
        <v>-2</v>
      </c>
    </row>
    <row r="99" spans="1:13" ht="15" customHeight="1">
      <c r="A99" s="412"/>
      <c r="B99" s="36" t="s">
        <v>63</v>
      </c>
      <c r="C99" s="10">
        <v>737544.5050563794</v>
      </c>
      <c r="D99" s="77">
        <v>737544.5050563794</v>
      </c>
      <c r="E99" s="58"/>
      <c r="F99" s="57"/>
      <c r="G99" s="234"/>
      <c r="H99" s="234"/>
      <c r="I99" s="241"/>
      <c r="J99" s="242"/>
      <c r="K99" s="5">
        <f>G99+H99+I99+J99</f>
        <v>0</v>
      </c>
      <c r="L99" s="5">
        <f>D99+E99+F99+K99</f>
        <v>737544.5050563794</v>
      </c>
      <c r="M99" s="4">
        <f aca="true" t="shared" si="26" ref="M99:M113">C99-D99-E99-F99-G99-H99-I99</f>
        <v>0</v>
      </c>
    </row>
    <row r="100" spans="1:13" ht="15" customHeight="1">
      <c r="A100" s="412"/>
      <c r="B100" s="35" t="s">
        <v>64</v>
      </c>
      <c r="C100" s="6">
        <v>730913.5095006949</v>
      </c>
      <c r="D100" s="74">
        <v>730913.5095006949</v>
      </c>
      <c r="E100" s="54"/>
      <c r="F100" s="53"/>
      <c r="G100" s="236"/>
      <c r="H100" s="236"/>
      <c r="I100" s="241"/>
      <c r="J100" s="242"/>
      <c r="K100" s="5">
        <f aca="true" t="shared" si="27" ref="K100:K115">G100+H100+I100+J100</f>
        <v>0</v>
      </c>
      <c r="L100" s="5">
        <f aca="true" t="shared" si="28" ref="L100:L115">D100+E100+F100+K100</f>
        <v>730913.5095006949</v>
      </c>
      <c r="M100" s="4">
        <f t="shared" si="26"/>
        <v>0</v>
      </c>
    </row>
    <row r="101" spans="1:13" ht="15" customHeight="1">
      <c r="A101" s="412"/>
      <c r="B101" s="35" t="s">
        <v>65</v>
      </c>
      <c r="C101" s="6">
        <v>1453388.3608717567</v>
      </c>
      <c r="D101" s="74">
        <v>1453388.3608717567</v>
      </c>
      <c r="E101" s="54"/>
      <c r="F101" s="53"/>
      <c r="G101" s="236"/>
      <c r="H101" s="236"/>
      <c r="I101" s="241"/>
      <c r="J101" s="242"/>
      <c r="K101" s="5">
        <f t="shared" si="27"/>
        <v>0</v>
      </c>
      <c r="L101" s="5">
        <f t="shared" si="28"/>
        <v>1453388.3608717567</v>
      </c>
      <c r="M101" s="4">
        <f t="shared" si="26"/>
        <v>0</v>
      </c>
    </row>
    <row r="102" spans="1:13" ht="15" customHeight="1">
      <c r="A102" s="412"/>
      <c r="B102" s="35" t="s">
        <v>66</v>
      </c>
      <c r="C102" s="6">
        <f>953293.411629016+5974</f>
        <v>959267.411629016</v>
      </c>
      <c r="D102" s="74">
        <f>953293.411629016+5974</f>
        <v>959267.411629016</v>
      </c>
      <c r="E102" s="54"/>
      <c r="F102" s="53"/>
      <c r="G102" s="236"/>
      <c r="H102" s="236"/>
      <c r="I102" s="241"/>
      <c r="J102" s="242"/>
      <c r="K102" s="5">
        <f t="shared" si="27"/>
        <v>0</v>
      </c>
      <c r="L102" s="5">
        <f t="shared" si="28"/>
        <v>959267.411629016</v>
      </c>
      <c r="M102" s="4">
        <f t="shared" si="26"/>
        <v>0</v>
      </c>
    </row>
    <row r="103" spans="1:13" ht="15" customHeight="1">
      <c r="A103" s="412"/>
      <c r="B103" s="35" t="s">
        <v>67</v>
      </c>
      <c r="C103" s="6">
        <v>1148185.1958536068</v>
      </c>
      <c r="D103" s="74">
        <v>1148185.1958536068</v>
      </c>
      <c r="E103" s="54"/>
      <c r="F103" s="53"/>
      <c r="G103" s="236"/>
      <c r="H103" s="236"/>
      <c r="I103" s="241"/>
      <c r="J103" s="242"/>
      <c r="K103" s="5">
        <f t="shared" si="27"/>
        <v>0</v>
      </c>
      <c r="L103" s="5">
        <f t="shared" si="28"/>
        <v>1148185.1958536068</v>
      </c>
      <c r="M103" s="4">
        <f t="shared" si="26"/>
        <v>0</v>
      </c>
    </row>
    <row r="104" spans="1:13" ht="15" customHeight="1">
      <c r="A104" s="412"/>
      <c r="B104" s="35" t="s">
        <v>68</v>
      </c>
      <c r="C104" s="6">
        <v>1254329.0937932504</v>
      </c>
      <c r="D104" s="74">
        <v>1254329.0937932504</v>
      </c>
      <c r="E104" s="54"/>
      <c r="F104" s="53"/>
      <c r="G104" s="236"/>
      <c r="H104" s="236"/>
      <c r="I104" s="241"/>
      <c r="J104" s="242"/>
      <c r="K104" s="5">
        <f t="shared" si="27"/>
        <v>0</v>
      </c>
      <c r="L104" s="5">
        <f t="shared" si="28"/>
        <v>1254329.0937932504</v>
      </c>
      <c r="M104" s="4">
        <f t="shared" si="26"/>
        <v>0</v>
      </c>
    </row>
    <row r="105" spans="1:13" ht="15" customHeight="1">
      <c r="A105" s="412"/>
      <c r="B105" s="35" t="s">
        <v>69</v>
      </c>
      <c r="C105" s="6">
        <v>414683.4796586345</v>
      </c>
      <c r="D105" s="74">
        <v>414683.4796586345</v>
      </c>
      <c r="E105" s="54"/>
      <c r="F105" s="53"/>
      <c r="G105" s="236"/>
      <c r="H105" s="236"/>
      <c r="I105" s="241"/>
      <c r="J105" s="242"/>
      <c r="K105" s="5">
        <f t="shared" si="27"/>
        <v>0</v>
      </c>
      <c r="L105" s="5">
        <f t="shared" si="28"/>
        <v>414683.4796586345</v>
      </c>
      <c r="M105" s="4">
        <f t="shared" si="26"/>
        <v>0</v>
      </c>
    </row>
    <row r="106" spans="1:13" ht="15" customHeight="1">
      <c r="A106" s="412"/>
      <c r="B106" s="35" t="s">
        <v>70</v>
      </c>
      <c r="C106" s="6">
        <v>724849.3858051435</v>
      </c>
      <c r="D106" s="74">
        <v>724849.3858051435</v>
      </c>
      <c r="E106" s="54"/>
      <c r="F106" s="53"/>
      <c r="G106" s="236"/>
      <c r="H106" s="236"/>
      <c r="I106" s="241"/>
      <c r="J106" s="242"/>
      <c r="K106" s="5">
        <f t="shared" si="27"/>
        <v>0</v>
      </c>
      <c r="L106" s="5">
        <f t="shared" si="28"/>
        <v>724849.3858051435</v>
      </c>
      <c r="M106" s="4">
        <f t="shared" si="26"/>
        <v>0</v>
      </c>
    </row>
    <row r="107" spans="1:13" ht="15" customHeight="1">
      <c r="A107" s="412"/>
      <c r="B107" s="35" t="s">
        <v>71</v>
      </c>
      <c r="C107" s="6">
        <v>512028.1692108811</v>
      </c>
      <c r="D107" s="74">
        <v>512028.1692108811</v>
      </c>
      <c r="E107" s="54"/>
      <c r="F107" s="53"/>
      <c r="G107" s="236"/>
      <c r="H107" s="236"/>
      <c r="I107" s="241"/>
      <c r="J107" s="242"/>
      <c r="K107" s="5">
        <f t="shared" si="27"/>
        <v>0</v>
      </c>
      <c r="L107" s="5">
        <f t="shared" si="28"/>
        <v>512028.1692108811</v>
      </c>
      <c r="M107" s="4">
        <f t="shared" si="26"/>
        <v>0</v>
      </c>
    </row>
    <row r="108" spans="1:13" ht="15" customHeight="1">
      <c r="A108" s="412"/>
      <c r="B108" s="35" t="s">
        <v>72</v>
      </c>
      <c r="C108" s="6">
        <v>2296142.964005059</v>
      </c>
      <c r="D108" s="74">
        <v>2296142.964005059</v>
      </c>
      <c r="E108" s="54"/>
      <c r="F108" s="53"/>
      <c r="G108" s="236"/>
      <c r="H108" s="236"/>
      <c r="I108" s="241"/>
      <c r="J108" s="242"/>
      <c r="K108" s="5">
        <f t="shared" si="27"/>
        <v>0</v>
      </c>
      <c r="L108" s="5">
        <f t="shared" si="28"/>
        <v>2296142.964005059</v>
      </c>
      <c r="M108" s="4">
        <f t="shared" si="26"/>
        <v>0</v>
      </c>
    </row>
    <row r="109" spans="1:13" ht="15" customHeight="1">
      <c r="A109" s="412"/>
      <c r="B109" s="35" t="s">
        <v>84</v>
      </c>
      <c r="C109" s="6">
        <v>4307746</v>
      </c>
      <c r="D109" s="74">
        <v>4307746</v>
      </c>
      <c r="E109" s="54"/>
      <c r="F109" s="53"/>
      <c r="G109" s="236"/>
      <c r="H109" s="236"/>
      <c r="I109" s="241"/>
      <c r="J109" s="242"/>
      <c r="K109" s="5">
        <f t="shared" si="27"/>
        <v>0</v>
      </c>
      <c r="L109" s="5">
        <f t="shared" si="28"/>
        <v>4307746</v>
      </c>
      <c r="M109" s="4">
        <f t="shared" si="26"/>
        <v>0</v>
      </c>
    </row>
    <row r="110" spans="1:13" ht="15" customHeight="1">
      <c r="A110" s="412"/>
      <c r="B110" s="35" t="s">
        <v>74</v>
      </c>
      <c r="C110" s="6">
        <v>327311.1345140176</v>
      </c>
      <c r="D110" s="74">
        <v>327311.1345140176</v>
      </c>
      <c r="E110" s="54"/>
      <c r="F110" s="53"/>
      <c r="G110" s="236"/>
      <c r="H110" s="236"/>
      <c r="I110" s="241"/>
      <c r="J110" s="242"/>
      <c r="K110" s="5">
        <f t="shared" si="27"/>
        <v>0</v>
      </c>
      <c r="L110" s="5">
        <f t="shared" si="28"/>
        <v>327311.1345140176</v>
      </c>
      <c r="M110" s="4">
        <f t="shared" si="26"/>
        <v>0</v>
      </c>
    </row>
    <row r="111" spans="1:13" ht="15" customHeight="1">
      <c r="A111" s="412"/>
      <c r="B111" s="35" t="s">
        <v>75</v>
      </c>
      <c r="C111" s="6">
        <v>575995.3748723742</v>
      </c>
      <c r="D111" s="74">
        <v>575995.3748723742</v>
      </c>
      <c r="E111" s="54"/>
      <c r="F111" s="53"/>
      <c r="G111" s="236"/>
      <c r="H111" s="236"/>
      <c r="I111" s="241"/>
      <c r="J111" s="242"/>
      <c r="K111" s="5">
        <f t="shared" si="27"/>
        <v>0</v>
      </c>
      <c r="L111" s="5">
        <f t="shared" si="28"/>
        <v>575995.3748723742</v>
      </c>
      <c r="M111" s="4">
        <f t="shared" si="26"/>
        <v>0</v>
      </c>
    </row>
    <row r="112" spans="1:13" ht="15" customHeight="1">
      <c r="A112" s="412"/>
      <c r="B112" s="35" t="s">
        <v>76</v>
      </c>
      <c r="C112" s="6">
        <f>743276.617951614-5974</f>
        <v>737302.617951614</v>
      </c>
      <c r="D112" s="74">
        <f>743276.617951614-5974</f>
        <v>737302.617951614</v>
      </c>
      <c r="E112" s="54"/>
      <c r="F112" s="53"/>
      <c r="G112" s="236"/>
      <c r="H112" s="236"/>
      <c r="I112" s="241"/>
      <c r="J112" s="242"/>
      <c r="K112" s="5">
        <f t="shared" si="27"/>
        <v>0</v>
      </c>
      <c r="L112" s="5">
        <f t="shared" si="28"/>
        <v>737302.617951614</v>
      </c>
      <c r="M112" s="4">
        <f t="shared" si="26"/>
        <v>0</v>
      </c>
    </row>
    <row r="113" spans="1:13" ht="15" customHeight="1">
      <c r="A113" s="412"/>
      <c r="B113" s="139" t="s">
        <v>85</v>
      </c>
      <c r="C113" s="6">
        <f>1450+50703</f>
        <v>52153</v>
      </c>
      <c r="D113" s="53">
        <v>50703</v>
      </c>
      <c r="E113" s="54"/>
      <c r="F113" s="53">
        <v>1450</v>
      </c>
      <c r="G113" s="236"/>
      <c r="H113" s="236"/>
      <c r="I113" s="236"/>
      <c r="J113" s="237"/>
      <c r="K113" s="5">
        <f t="shared" si="27"/>
        <v>0</v>
      </c>
      <c r="L113" s="5">
        <f t="shared" si="28"/>
        <v>52153</v>
      </c>
      <c r="M113" s="4">
        <f t="shared" si="26"/>
        <v>0</v>
      </c>
    </row>
    <row r="114" spans="1:13" ht="15" customHeight="1">
      <c r="A114" s="412"/>
      <c r="B114" s="139" t="s">
        <v>86</v>
      </c>
      <c r="C114" s="6">
        <v>185311</v>
      </c>
      <c r="D114" s="53">
        <v>185311</v>
      </c>
      <c r="E114" s="54"/>
      <c r="F114" s="53"/>
      <c r="G114" s="236"/>
      <c r="H114" s="236"/>
      <c r="I114" s="236"/>
      <c r="J114" s="237"/>
      <c r="K114" s="5">
        <f t="shared" si="27"/>
        <v>0</v>
      </c>
      <c r="L114" s="5">
        <f t="shared" si="28"/>
        <v>185311</v>
      </c>
      <c r="M114" s="4">
        <f>C114-D114-E114-F114-G114-H114-I114</f>
        <v>0</v>
      </c>
    </row>
    <row r="115" spans="1:13" ht="23.25" thickBot="1">
      <c r="A115" s="412"/>
      <c r="B115" s="139" t="s">
        <v>87</v>
      </c>
      <c r="C115" s="6">
        <f>1448+90513</f>
        <v>91961</v>
      </c>
      <c r="D115" s="53">
        <v>90513</v>
      </c>
      <c r="E115" s="54"/>
      <c r="F115" s="53">
        <v>1450</v>
      </c>
      <c r="G115" s="236"/>
      <c r="H115" s="236"/>
      <c r="I115" s="236"/>
      <c r="J115" s="237"/>
      <c r="K115" s="5">
        <f t="shared" si="27"/>
        <v>0</v>
      </c>
      <c r="L115" s="5">
        <f t="shared" si="28"/>
        <v>91963</v>
      </c>
      <c r="M115" s="4">
        <f>C115-D115-E115-F115-G115-H115-I115</f>
        <v>-2</v>
      </c>
    </row>
    <row r="116" spans="1:13" ht="14.25" customHeight="1" thickBot="1">
      <c r="A116" s="412"/>
      <c r="B116" s="153" t="s">
        <v>88</v>
      </c>
      <c r="C116" s="24">
        <f>+C117+C118+C119+C121+C122+C120</f>
        <v>6320667</v>
      </c>
      <c r="D116" s="69">
        <f aca="true" t="shared" si="29" ref="D116:M116">+D117+D118+D119+D121+D122+D120</f>
        <v>6080282</v>
      </c>
      <c r="E116" s="70">
        <f t="shared" si="29"/>
        <v>0</v>
      </c>
      <c r="F116" s="69">
        <f t="shared" si="29"/>
        <v>226613</v>
      </c>
      <c r="G116" s="247">
        <f t="shared" si="29"/>
        <v>0</v>
      </c>
      <c r="H116" s="247">
        <f t="shared" si="29"/>
        <v>0</v>
      </c>
      <c r="I116" s="247">
        <f t="shared" si="29"/>
        <v>0</v>
      </c>
      <c r="J116" s="248">
        <f t="shared" si="29"/>
        <v>0</v>
      </c>
      <c r="K116" s="25">
        <f>K117+K118+K119+K120+K121+K122</f>
        <v>0</v>
      </c>
      <c r="L116" s="25">
        <f t="shared" si="29"/>
        <v>6306895</v>
      </c>
      <c r="M116" s="24">
        <f t="shared" si="29"/>
        <v>13772</v>
      </c>
    </row>
    <row r="117" spans="1:13" ht="11.25">
      <c r="A117" s="412"/>
      <c r="B117" s="125" t="s">
        <v>89</v>
      </c>
      <c r="C117" s="10">
        <v>1053928</v>
      </c>
      <c r="D117" s="57">
        <v>1053928</v>
      </c>
      <c r="E117" s="58"/>
      <c r="F117" s="93"/>
      <c r="G117" s="249"/>
      <c r="H117" s="249"/>
      <c r="I117" s="241"/>
      <c r="J117" s="242"/>
      <c r="K117" s="5">
        <f aca="true" t="shared" si="30" ref="K117:K122">G117+H117+I117+J117</f>
        <v>0</v>
      </c>
      <c r="L117" s="5">
        <f aca="true" t="shared" si="31" ref="L117:L122">D117+E117+F117+K117</f>
        <v>1053928</v>
      </c>
      <c r="M117" s="4">
        <f aca="true" t="shared" si="32" ref="M117:M122">C117-D117-E117-F117-G117-H117-I117</f>
        <v>0</v>
      </c>
    </row>
    <row r="118" spans="1:13" ht="11.25">
      <c r="A118" s="412"/>
      <c r="B118" s="139" t="s">
        <v>90</v>
      </c>
      <c r="C118" s="6">
        <v>2371987</v>
      </c>
      <c r="D118" s="53">
        <v>2371987</v>
      </c>
      <c r="E118" s="54"/>
      <c r="F118" s="94"/>
      <c r="G118" s="250"/>
      <c r="H118" s="250"/>
      <c r="I118" s="241"/>
      <c r="J118" s="242"/>
      <c r="K118" s="5">
        <f t="shared" si="30"/>
        <v>0</v>
      </c>
      <c r="L118" s="5">
        <f t="shared" si="31"/>
        <v>2371987</v>
      </c>
      <c r="M118" s="4">
        <f t="shared" si="32"/>
        <v>0</v>
      </c>
    </row>
    <row r="119" spans="1:13" ht="11.25">
      <c r="A119" s="412"/>
      <c r="B119" s="139" t="s">
        <v>91</v>
      </c>
      <c r="C119" s="6">
        <f>2654367-50394</f>
        <v>2603973</v>
      </c>
      <c r="D119" s="53">
        <f>2654367-50394</f>
        <v>2603973</v>
      </c>
      <c r="E119" s="54"/>
      <c r="F119" s="94"/>
      <c r="G119" s="250"/>
      <c r="H119" s="250"/>
      <c r="I119" s="241"/>
      <c r="J119" s="242"/>
      <c r="K119" s="5">
        <f t="shared" si="30"/>
        <v>0</v>
      </c>
      <c r="L119" s="5">
        <f t="shared" si="31"/>
        <v>2603973</v>
      </c>
      <c r="M119" s="4">
        <f t="shared" si="32"/>
        <v>0</v>
      </c>
    </row>
    <row r="120" spans="1:13" ht="22.5">
      <c r="A120" s="412"/>
      <c r="B120" s="139" t="s">
        <v>92</v>
      </c>
      <c r="C120" s="6">
        <v>50394</v>
      </c>
      <c r="D120" s="74">
        <v>50394</v>
      </c>
      <c r="E120" s="54"/>
      <c r="F120" s="94"/>
      <c r="G120" s="250"/>
      <c r="H120" s="250"/>
      <c r="I120" s="241"/>
      <c r="J120" s="242"/>
      <c r="K120" s="5">
        <f t="shared" si="30"/>
        <v>0</v>
      </c>
      <c r="L120" s="5">
        <f t="shared" si="31"/>
        <v>50394</v>
      </c>
      <c r="M120" s="4">
        <f t="shared" si="32"/>
        <v>0</v>
      </c>
    </row>
    <row r="121" spans="1:13" ht="11.25">
      <c r="A121" s="412"/>
      <c r="B121" s="139" t="s">
        <v>93</v>
      </c>
      <c r="C121" s="6">
        <v>66613</v>
      </c>
      <c r="D121" s="55"/>
      <c r="E121" s="56"/>
      <c r="F121" s="53">
        <v>66613</v>
      </c>
      <c r="G121" s="250"/>
      <c r="H121" s="250"/>
      <c r="I121" s="241"/>
      <c r="J121" s="242"/>
      <c r="K121" s="5">
        <f t="shared" si="30"/>
        <v>0</v>
      </c>
      <c r="L121" s="5">
        <f t="shared" si="31"/>
        <v>66613</v>
      </c>
      <c r="M121" s="4">
        <f t="shared" si="32"/>
        <v>0</v>
      </c>
    </row>
    <row r="122" spans="1:13" ht="15" customHeight="1" thickBot="1">
      <c r="A122" s="412"/>
      <c r="B122" s="141" t="s">
        <v>94</v>
      </c>
      <c r="C122" s="23">
        <f>86886+86886</f>
        <v>173772</v>
      </c>
      <c r="D122" s="78"/>
      <c r="E122" s="79"/>
      <c r="F122" s="67">
        <v>160000</v>
      </c>
      <c r="G122" s="251"/>
      <c r="H122" s="251"/>
      <c r="I122" s="241"/>
      <c r="J122" s="242"/>
      <c r="K122" s="5">
        <f t="shared" si="30"/>
        <v>0</v>
      </c>
      <c r="L122" s="5">
        <f t="shared" si="31"/>
        <v>160000</v>
      </c>
      <c r="M122" s="4">
        <f t="shared" si="32"/>
        <v>13772</v>
      </c>
    </row>
    <row r="123" spans="1:13" ht="23.25" customHeight="1" thickBot="1">
      <c r="A123" s="412"/>
      <c r="B123" s="321" t="s">
        <v>95</v>
      </c>
      <c r="C123" s="49">
        <f aca="true" t="shared" si="33" ref="C123:M123">SUM(C124:C132)</f>
        <v>2212818</v>
      </c>
      <c r="D123" s="136">
        <f t="shared" si="33"/>
        <v>1862842</v>
      </c>
      <c r="E123" s="137">
        <f t="shared" si="33"/>
        <v>0</v>
      </c>
      <c r="F123" s="136">
        <f t="shared" si="33"/>
        <v>115000</v>
      </c>
      <c r="G123" s="136">
        <f t="shared" si="33"/>
        <v>15640</v>
      </c>
      <c r="H123" s="136">
        <f t="shared" si="33"/>
        <v>0</v>
      </c>
      <c r="I123" s="136">
        <f t="shared" si="33"/>
        <v>0</v>
      </c>
      <c r="J123" s="136">
        <f t="shared" si="33"/>
        <v>0</v>
      </c>
      <c r="K123" s="136">
        <f t="shared" si="33"/>
        <v>15640</v>
      </c>
      <c r="L123" s="152">
        <f t="shared" si="33"/>
        <v>1993482</v>
      </c>
      <c r="M123" s="49">
        <f t="shared" si="33"/>
        <v>219336</v>
      </c>
    </row>
    <row r="124" spans="1:13" ht="14.25" customHeight="1">
      <c r="A124" s="412"/>
      <c r="B124" s="125" t="s">
        <v>96</v>
      </c>
      <c r="C124" s="10">
        <v>15640</v>
      </c>
      <c r="D124" s="57"/>
      <c r="E124" s="58"/>
      <c r="F124" s="57">
        <v>0</v>
      </c>
      <c r="G124" s="234">
        <v>15640</v>
      </c>
      <c r="H124" s="234"/>
      <c r="I124" s="234"/>
      <c r="J124" s="235"/>
      <c r="K124" s="11">
        <f>G124+H124+I124+J124</f>
        <v>15640</v>
      </c>
      <c r="L124" s="5">
        <f>D124+E124+F124+K124</f>
        <v>15640</v>
      </c>
      <c r="M124" s="4">
        <f aca="true" t="shared" si="34" ref="M124:M132">C124-D124-E124-F124-G124-H124-I124</f>
        <v>0</v>
      </c>
    </row>
    <row r="125" spans="1:13" ht="13.5" customHeight="1">
      <c r="A125" s="412"/>
      <c r="B125" s="139" t="s">
        <v>145</v>
      </c>
      <c r="C125" s="6">
        <v>319334</v>
      </c>
      <c r="D125" s="53"/>
      <c r="E125" s="54"/>
      <c r="F125" s="53">
        <v>100000</v>
      </c>
      <c r="G125" s="236"/>
      <c r="H125" s="236"/>
      <c r="I125" s="236"/>
      <c r="J125" s="237"/>
      <c r="K125" s="11">
        <f aca="true" t="shared" si="35" ref="K125:K132">G125+H125+I125+J125</f>
        <v>0</v>
      </c>
      <c r="L125" s="5">
        <f aca="true" t="shared" si="36" ref="L125:L132">D125+E125+F125+K125</f>
        <v>100000</v>
      </c>
      <c r="M125" s="4">
        <f t="shared" si="34"/>
        <v>219334</v>
      </c>
    </row>
    <row r="126" spans="1:13" ht="12.75" customHeight="1">
      <c r="A126" s="412"/>
      <c r="B126" s="139" t="s">
        <v>97</v>
      </c>
      <c r="C126" s="6">
        <v>15000</v>
      </c>
      <c r="D126" s="53"/>
      <c r="E126" s="54"/>
      <c r="F126" s="53">
        <v>15000</v>
      </c>
      <c r="G126" s="236"/>
      <c r="H126" s="236"/>
      <c r="I126" s="236"/>
      <c r="J126" s="237"/>
      <c r="K126" s="11">
        <f t="shared" si="35"/>
        <v>0</v>
      </c>
      <c r="L126" s="5">
        <f t="shared" si="36"/>
        <v>15000</v>
      </c>
      <c r="M126" s="4">
        <f>C126-D126-E126-F126-G126-H126-I126</f>
        <v>0</v>
      </c>
    </row>
    <row r="127" spans="1:13" ht="13.5" customHeight="1">
      <c r="A127" s="412"/>
      <c r="B127" s="139" t="s">
        <v>98</v>
      </c>
      <c r="C127" s="6">
        <v>104263</v>
      </c>
      <c r="D127" s="53">
        <v>104263</v>
      </c>
      <c r="E127" s="54"/>
      <c r="F127" s="53"/>
      <c r="G127" s="236"/>
      <c r="H127" s="236"/>
      <c r="I127" s="236"/>
      <c r="J127" s="237"/>
      <c r="K127" s="11">
        <f t="shared" si="35"/>
        <v>0</v>
      </c>
      <c r="L127" s="5">
        <f t="shared" si="36"/>
        <v>104263</v>
      </c>
      <c r="M127" s="4">
        <f>C127-D127-E127-F127-G127-H127-I127</f>
        <v>0</v>
      </c>
    </row>
    <row r="128" spans="1:13" ht="15" customHeight="1">
      <c r="A128" s="412"/>
      <c r="B128" s="320" t="s">
        <v>99</v>
      </c>
      <c r="C128" s="23">
        <v>115211</v>
      </c>
      <c r="D128" s="67">
        <v>115211</v>
      </c>
      <c r="E128" s="68"/>
      <c r="F128" s="67"/>
      <c r="G128" s="232"/>
      <c r="H128" s="232"/>
      <c r="I128" s="232"/>
      <c r="J128" s="238"/>
      <c r="K128" s="11">
        <f t="shared" si="35"/>
        <v>0</v>
      </c>
      <c r="L128" s="5">
        <f t="shared" si="36"/>
        <v>115211</v>
      </c>
      <c r="M128" s="4">
        <f t="shared" si="34"/>
        <v>0</v>
      </c>
    </row>
    <row r="129" spans="1:13" ht="18" customHeight="1">
      <c r="A129" s="412"/>
      <c r="B129" s="320" t="s">
        <v>100</v>
      </c>
      <c r="C129" s="23">
        <v>703589</v>
      </c>
      <c r="D129" s="67">
        <v>703589</v>
      </c>
      <c r="E129" s="68"/>
      <c r="F129" s="67"/>
      <c r="G129" s="232"/>
      <c r="H129" s="232"/>
      <c r="I129" s="232"/>
      <c r="J129" s="238"/>
      <c r="K129" s="11">
        <f t="shared" si="35"/>
        <v>0</v>
      </c>
      <c r="L129" s="5">
        <f t="shared" si="36"/>
        <v>703589</v>
      </c>
      <c r="M129" s="4">
        <f t="shared" si="34"/>
        <v>0</v>
      </c>
    </row>
    <row r="130" spans="1:13" ht="15" customHeight="1">
      <c r="A130" s="412"/>
      <c r="B130" s="320" t="s">
        <v>101</v>
      </c>
      <c r="C130" s="23">
        <v>247443</v>
      </c>
      <c r="D130" s="67">
        <v>247443</v>
      </c>
      <c r="E130" s="68"/>
      <c r="F130" s="67"/>
      <c r="G130" s="232"/>
      <c r="H130" s="232"/>
      <c r="I130" s="232"/>
      <c r="J130" s="238"/>
      <c r="K130" s="11">
        <f t="shared" si="35"/>
        <v>0</v>
      </c>
      <c r="L130" s="5">
        <f t="shared" si="36"/>
        <v>247443</v>
      </c>
      <c r="M130" s="4">
        <f t="shared" si="34"/>
        <v>0</v>
      </c>
    </row>
    <row r="131" spans="1:13" ht="15" customHeight="1">
      <c r="A131" s="412"/>
      <c r="B131" s="320" t="s">
        <v>102</v>
      </c>
      <c r="C131" s="6">
        <v>344794</v>
      </c>
      <c r="D131" s="53">
        <v>344794</v>
      </c>
      <c r="E131" s="54"/>
      <c r="F131" s="53"/>
      <c r="G131" s="236"/>
      <c r="H131" s="236"/>
      <c r="I131" s="236"/>
      <c r="J131" s="237"/>
      <c r="K131" s="11">
        <f t="shared" si="35"/>
        <v>0</v>
      </c>
      <c r="L131" s="5">
        <f t="shared" si="36"/>
        <v>344794</v>
      </c>
      <c r="M131" s="4">
        <f t="shared" si="34"/>
        <v>0</v>
      </c>
    </row>
    <row r="132" spans="1:13" ht="14.25" customHeight="1" thickBot="1">
      <c r="A132" s="412"/>
      <c r="B132" s="154" t="s">
        <v>103</v>
      </c>
      <c r="C132" s="40">
        <v>347544</v>
      </c>
      <c r="D132" s="80">
        <v>347542</v>
      </c>
      <c r="E132" s="68"/>
      <c r="F132" s="67"/>
      <c r="G132" s="232"/>
      <c r="H132" s="232"/>
      <c r="I132" s="232"/>
      <c r="J132" s="238"/>
      <c r="K132" s="11">
        <f t="shared" si="35"/>
        <v>0</v>
      </c>
      <c r="L132" s="5">
        <f t="shared" si="36"/>
        <v>347542</v>
      </c>
      <c r="M132" s="4">
        <f t="shared" si="34"/>
        <v>2</v>
      </c>
    </row>
    <row r="133" spans="1:13" ht="13.5" thickBot="1">
      <c r="A133" s="419"/>
      <c r="B133" s="155" t="s">
        <v>104</v>
      </c>
      <c r="C133" s="41">
        <f>+C98+C116+C123</f>
        <v>25042597.20272243</v>
      </c>
      <c r="D133" s="81">
        <f>+D98+D116+D123</f>
        <v>24449338.20272243</v>
      </c>
      <c r="E133" s="82">
        <f>+E98+E116+E123</f>
        <v>0</v>
      </c>
      <c r="F133" s="81">
        <f>+F98+F116+F123</f>
        <v>344513</v>
      </c>
      <c r="G133" s="252">
        <f aca="true" t="shared" si="37" ref="G133:M133">+G98+G116+G123</f>
        <v>15640</v>
      </c>
      <c r="H133" s="252">
        <f t="shared" si="37"/>
        <v>0</v>
      </c>
      <c r="I133" s="252">
        <f t="shared" si="37"/>
        <v>0</v>
      </c>
      <c r="J133" s="253">
        <f t="shared" si="37"/>
        <v>0</v>
      </c>
      <c r="K133" s="42">
        <f t="shared" si="37"/>
        <v>15640</v>
      </c>
      <c r="L133" s="372">
        <f t="shared" si="37"/>
        <v>24809491.20272243</v>
      </c>
      <c r="M133" s="41">
        <f t="shared" si="37"/>
        <v>233106</v>
      </c>
    </row>
    <row r="134" spans="1:13" ht="13.5" customHeight="1" thickBot="1">
      <c r="A134" s="103"/>
      <c r="B134" s="181"/>
      <c r="C134" s="182"/>
      <c r="D134" s="402" t="s">
        <v>5</v>
      </c>
      <c r="E134" s="403"/>
      <c r="F134" s="403"/>
      <c r="G134" s="403"/>
      <c r="H134" s="403"/>
      <c r="I134" s="403"/>
      <c r="J134" s="403"/>
      <c r="K134" s="403"/>
      <c r="L134" s="404"/>
      <c r="M134" s="405" t="s">
        <v>6</v>
      </c>
    </row>
    <row r="135" spans="1:13" ht="36" customHeight="1" thickBot="1">
      <c r="A135" s="1" t="s">
        <v>7</v>
      </c>
      <c r="B135" s="2" t="s">
        <v>8</v>
      </c>
      <c r="C135" s="3" t="s">
        <v>144</v>
      </c>
      <c r="D135" s="105" t="s">
        <v>153</v>
      </c>
      <c r="E135" s="106" t="s">
        <v>152</v>
      </c>
      <c r="F135" s="105" t="s">
        <v>149</v>
      </c>
      <c r="G135" s="233" t="s">
        <v>148</v>
      </c>
      <c r="H135" s="233" t="s">
        <v>147</v>
      </c>
      <c r="I135" s="233" t="s">
        <v>0</v>
      </c>
      <c r="J135" s="318" t="s">
        <v>1</v>
      </c>
      <c r="K135" s="317" t="s">
        <v>154</v>
      </c>
      <c r="L135" s="370" t="s">
        <v>151</v>
      </c>
      <c r="M135" s="406"/>
    </row>
    <row r="136" spans="1:13" ht="14.25" customHeight="1" thickBot="1">
      <c r="A136" s="417" t="s">
        <v>105</v>
      </c>
      <c r="B136" s="121" t="s">
        <v>106</v>
      </c>
      <c r="C136" s="24">
        <f aca="true" t="shared" si="38" ref="C136:H136">+C137+C138+C139+C140+C141+C143</f>
        <v>110075</v>
      </c>
      <c r="D136" s="69">
        <f>+D137+D138+D139+D140+D141+D143+D142</f>
        <v>0</v>
      </c>
      <c r="E136" s="70">
        <f>+E137+E138+E139+E140+E141+E143+E142</f>
        <v>0</v>
      </c>
      <c r="F136" s="69">
        <f>+F137+F138+F139+F140+F141+F143+F142</f>
        <v>119539</v>
      </c>
      <c r="G136" s="247">
        <f t="shared" si="38"/>
        <v>0</v>
      </c>
      <c r="H136" s="247">
        <f t="shared" si="38"/>
        <v>0</v>
      </c>
      <c r="I136" s="247">
        <f>+I137+I138+I139+I140+I141+I143</f>
        <v>0</v>
      </c>
      <c r="J136" s="248">
        <f>+J137+J138+J139+J140+J141+J143</f>
        <v>0</v>
      </c>
      <c r="K136" s="25">
        <f>K137+K138+K139+K140+K141+K142</f>
        <v>0</v>
      </c>
      <c r="L136" s="33">
        <f>D136+E136+F136+G136+H136+I136</f>
        <v>119539</v>
      </c>
      <c r="M136" s="24">
        <f>+M137+M138+M139+M140+M141+M143</f>
        <v>14651</v>
      </c>
    </row>
    <row r="137" spans="1:13" ht="11.25">
      <c r="A137" s="418"/>
      <c r="B137" s="125" t="s">
        <v>107</v>
      </c>
      <c r="C137" s="10">
        <v>57924</v>
      </c>
      <c r="D137" s="57"/>
      <c r="E137" s="58"/>
      <c r="F137" s="57">
        <v>57924</v>
      </c>
      <c r="G137" s="234"/>
      <c r="H137" s="234"/>
      <c r="I137" s="256"/>
      <c r="J137" s="257"/>
      <c r="K137" s="11">
        <f>G137+H137+I137+J137</f>
        <v>0</v>
      </c>
      <c r="L137" s="11">
        <f>D137+E137+F137+K137</f>
        <v>57924</v>
      </c>
      <c r="M137" s="4">
        <f aca="true" t="shared" si="39" ref="M137:M149">C137-D137-E137-F137-G137-H137-I137</f>
        <v>0</v>
      </c>
    </row>
    <row r="138" spans="1:13" ht="11.25">
      <c r="A138" s="418"/>
      <c r="B138" s="139" t="s">
        <v>108</v>
      </c>
      <c r="C138" s="6">
        <v>9255</v>
      </c>
      <c r="D138" s="53"/>
      <c r="E138" s="54"/>
      <c r="F138" s="53">
        <v>1500</v>
      </c>
      <c r="G138" s="236"/>
      <c r="H138" s="236"/>
      <c r="I138" s="241"/>
      <c r="J138" s="242"/>
      <c r="K138" s="5">
        <f aca="true" t="shared" si="40" ref="K138:K143">G138+H138+I138+J138</f>
        <v>0</v>
      </c>
      <c r="L138" s="5">
        <f aca="true" t="shared" si="41" ref="L138:L143">D138+E138+F138+K138</f>
        <v>1500</v>
      </c>
      <c r="M138" s="4">
        <f t="shared" si="39"/>
        <v>7755</v>
      </c>
    </row>
    <row r="139" spans="1:13" ht="11.25">
      <c r="A139" s="418"/>
      <c r="B139" s="139" t="s">
        <v>109</v>
      </c>
      <c r="C139" s="6">
        <v>2896</v>
      </c>
      <c r="D139" s="53"/>
      <c r="E139" s="54"/>
      <c r="F139" s="53">
        <v>1000</v>
      </c>
      <c r="G139" s="236"/>
      <c r="H139" s="236"/>
      <c r="I139" s="241"/>
      <c r="J139" s="242"/>
      <c r="K139" s="5">
        <f t="shared" si="40"/>
        <v>0</v>
      </c>
      <c r="L139" s="5">
        <f t="shared" si="41"/>
        <v>1000</v>
      </c>
      <c r="M139" s="4">
        <f t="shared" si="39"/>
        <v>1896</v>
      </c>
    </row>
    <row r="140" spans="1:13" ht="15.75" customHeight="1">
      <c r="A140" s="418"/>
      <c r="B140" s="139" t="s">
        <v>110</v>
      </c>
      <c r="C140" s="6">
        <v>20000</v>
      </c>
      <c r="D140" s="53"/>
      <c r="E140" s="54"/>
      <c r="F140" s="53">
        <v>20000</v>
      </c>
      <c r="G140" s="236"/>
      <c r="H140" s="236"/>
      <c r="I140" s="241"/>
      <c r="J140" s="242"/>
      <c r="K140" s="5">
        <f t="shared" si="40"/>
        <v>0</v>
      </c>
      <c r="L140" s="5">
        <f t="shared" si="41"/>
        <v>20000</v>
      </c>
      <c r="M140" s="4">
        <f t="shared" si="39"/>
        <v>0</v>
      </c>
    </row>
    <row r="141" spans="1:13" ht="22.5">
      <c r="A141" s="418"/>
      <c r="B141" s="139" t="s">
        <v>111</v>
      </c>
      <c r="C141" s="6">
        <v>15000</v>
      </c>
      <c r="D141" s="53"/>
      <c r="E141" s="54"/>
      <c r="F141" s="53">
        <v>10000</v>
      </c>
      <c r="G141" s="236"/>
      <c r="H141" s="236"/>
      <c r="I141" s="241"/>
      <c r="J141" s="242"/>
      <c r="K141" s="5">
        <f t="shared" si="40"/>
        <v>0</v>
      </c>
      <c r="L141" s="5">
        <f t="shared" si="41"/>
        <v>10000</v>
      </c>
      <c r="M141" s="4">
        <f t="shared" si="39"/>
        <v>5000</v>
      </c>
    </row>
    <row r="142" spans="1:13" ht="11.25">
      <c r="A142" s="418"/>
      <c r="B142" s="139" t="s">
        <v>112</v>
      </c>
      <c r="C142" s="6">
        <f>19115+5000</f>
        <v>24115</v>
      </c>
      <c r="D142" s="53"/>
      <c r="E142" s="54"/>
      <c r="F142" s="53">
        <v>24115</v>
      </c>
      <c r="G142" s="236"/>
      <c r="H142" s="236"/>
      <c r="I142" s="241"/>
      <c r="J142" s="242"/>
      <c r="K142" s="5">
        <f t="shared" si="40"/>
        <v>0</v>
      </c>
      <c r="L142" s="5">
        <f t="shared" si="41"/>
        <v>24115</v>
      </c>
      <c r="M142" s="4"/>
    </row>
    <row r="143" spans="1:13" ht="14.25" customHeight="1">
      <c r="A143" s="418"/>
      <c r="B143" s="139" t="s">
        <v>113</v>
      </c>
      <c r="C143" s="6">
        <v>5000</v>
      </c>
      <c r="D143" s="53"/>
      <c r="E143" s="54"/>
      <c r="F143" s="53">
        <v>5000</v>
      </c>
      <c r="G143" s="236"/>
      <c r="H143" s="236"/>
      <c r="I143" s="241"/>
      <c r="J143" s="242"/>
      <c r="K143" s="5">
        <f t="shared" si="40"/>
        <v>0</v>
      </c>
      <c r="L143" s="5">
        <f t="shared" si="41"/>
        <v>5000</v>
      </c>
      <c r="M143" s="4">
        <f t="shared" si="39"/>
        <v>0</v>
      </c>
    </row>
    <row r="144" spans="1:13" ht="24.75" customHeight="1">
      <c r="A144" s="418"/>
      <c r="B144" s="126" t="s">
        <v>146</v>
      </c>
      <c r="C144" s="13">
        <v>121640</v>
      </c>
      <c r="D144" s="324"/>
      <c r="E144" s="62"/>
      <c r="F144" s="59">
        <v>121640</v>
      </c>
      <c r="G144" s="236"/>
      <c r="H144" s="236"/>
      <c r="I144" s="236"/>
      <c r="J144" s="237"/>
      <c r="K144" s="16">
        <f aca="true" t="shared" si="42" ref="K144:K149">G144+H144+I144+J144</f>
        <v>0</v>
      </c>
      <c r="L144" s="14">
        <f aca="true" t="shared" si="43" ref="L144:L149">D144+E144+F144+K144</f>
        <v>121640</v>
      </c>
      <c r="M144" s="15">
        <f t="shared" si="39"/>
        <v>0</v>
      </c>
    </row>
    <row r="145" spans="1:13" ht="15" customHeight="1">
      <c r="A145" s="418"/>
      <c r="B145" s="126" t="s">
        <v>114</v>
      </c>
      <c r="C145" s="13">
        <v>28803</v>
      </c>
      <c r="D145" s="61">
        <v>28803</v>
      </c>
      <c r="E145" s="62"/>
      <c r="F145" s="59"/>
      <c r="G145" s="236"/>
      <c r="H145" s="236"/>
      <c r="I145" s="236"/>
      <c r="J145" s="237"/>
      <c r="K145" s="16">
        <f t="shared" si="42"/>
        <v>0</v>
      </c>
      <c r="L145" s="14">
        <f t="shared" si="43"/>
        <v>28803</v>
      </c>
      <c r="M145" s="15">
        <f t="shared" si="39"/>
        <v>0</v>
      </c>
    </row>
    <row r="146" spans="1:13" ht="24.75" customHeight="1">
      <c r="A146" s="418"/>
      <c r="B146" s="126" t="s">
        <v>115</v>
      </c>
      <c r="C146" s="13">
        <v>100513</v>
      </c>
      <c r="D146" s="61">
        <v>100513</v>
      </c>
      <c r="E146" s="62"/>
      <c r="F146" s="59"/>
      <c r="G146" s="236"/>
      <c r="H146" s="236"/>
      <c r="I146" s="236"/>
      <c r="J146" s="237"/>
      <c r="K146" s="16">
        <f t="shared" si="42"/>
        <v>0</v>
      </c>
      <c r="L146" s="14">
        <f t="shared" si="43"/>
        <v>100513</v>
      </c>
      <c r="M146" s="15">
        <f t="shared" si="39"/>
        <v>0</v>
      </c>
    </row>
    <row r="147" spans="1:13" ht="15.75" customHeight="1">
      <c r="A147" s="418"/>
      <c r="B147" s="156" t="s">
        <v>116</v>
      </c>
      <c r="C147" s="13">
        <v>58735</v>
      </c>
      <c r="D147" s="61">
        <v>58735</v>
      </c>
      <c r="E147" s="62"/>
      <c r="F147" s="59"/>
      <c r="G147" s="236"/>
      <c r="H147" s="236"/>
      <c r="I147" s="236"/>
      <c r="J147" s="237"/>
      <c r="K147" s="16">
        <f t="shared" si="42"/>
        <v>0</v>
      </c>
      <c r="L147" s="14">
        <f t="shared" si="43"/>
        <v>58735</v>
      </c>
      <c r="M147" s="15">
        <f t="shared" si="39"/>
        <v>0</v>
      </c>
    </row>
    <row r="148" spans="1:13" ht="12.75" customHeight="1">
      <c r="A148" s="418"/>
      <c r="B148" s="126" t="s">
        <v>117</v>
      </c>
      <c r="C148" s="26">
        <v>70698</v>
      </c>
      <c r="D148" s="59">
        <v>70698</v>
      </c>
      <c r="E148" s="60"/>
      <c r="F148" s="59"/>
      <c r="G148" s="236"/>
      <c r="H148" s="236"/>
      <c r="I148" s="236"/>
      <c r="J148" s="237"/>
      <c r="K148" s="16">
        <f t="shared" si="42"/>
        <v>0</v>
      </c>
      <c r="L148" s="16">
        <f t="shared" si="43"/>
        <v>70698</v>
      </c>
      <c r="M148" s="15">
        <f t="shared" si="39"/>
        <v>0</v>
      </c>
    </row>
    <row r="149" spans="1:13" ht="16.5" customHeight="1" thickBot="1">
      <c r="A149" s="418"/>
      <c r="B149" s="43" t="s">
        <v>118</v>
      </c>
      <c r="C149" s="32">
        <v>110056</v>
      </c>
      <c r="D149" s="71">
        <v>110056</v>
      </c>
      <c r="E149" s="72"/>
      <c r="F149" s="71"/>
      <c r="G149" s="232"/>
      <c r="H149" s="232"/>
      <c r="I149" s="232"/>
      <c r="J149" s="238"/>
      <c r="K149" s="16">
        <f t="shared" si="42"/>
        <v>0</v>
      </c>
      <c r="L149" s="16">
        <f t="shared" si="43"/>
        <v>110056</v>
      </c>
      <c r="M149" s="30">
        <f t="shared" si="39"/>
        <v>0</v>
      </c>
    </row>
    <row r="150" spans="1:13" ht="25.5" customHeight="1" thickBot="1">
      <c r="A150" s="413"/>
      <c r="B150" s="323" t="s">
        <v>175</v>
      </c>
      <c r="C150" s="38">
        <f>+C136+C144+C148+C149+C147+C146+C145</f>
        <v>600520</v>
      </c>
      <c r="D150" s="75">
        <f aca="true" t="shared" si="44" ref="D150:M150">+D136+D144+D148+D149+D147+D146+D145</f>
        <v>368805</v>
      </c>
      <c r="E150" s="76">
        <f t="shared" si="44"/>
        <v>0</v>
      </c>
      <c r="F150" s="75">
        <f t="shared" si="44"/>
        <v>241179</v>
      </c>
      <c r="G150" s="245">
        <f t="shared" si="44"/>
        <v>0</v>
      </c>
      <c r="H150" s="245">
        <f t="shared" si="44"/>
        <v>0</v>
      </c>
      <c r="I150" s="245">
        <f t="shared" si="44"/>
        <v>0</v>
      </c>
      <c r="J150" s="246">
        <f t="shared" si="44"/>
        <v>0</v>
      </c>
      <c r="K150" s="39">
        <f t="shared" si="44"/>
        <v>0</v>
      </c>
      <c r="L150" s="375">
        <f t="shared" si="44"/>
        <v>609984</v>
      </c>
      <c r="M150" s="38">
        <f t="shared" si="44"/>
        <v>14651</v>
      </c>
    </row>
    <row r="151" spans="1:13" ht="13.5" customHeight="1" thickBot="1">
      <c r="A151" s="103"/>
      <c r="B151" s="181"/>
      <c r="C151" s="182"/>
      <c r="D151" s="402" t="s">
        <v>5</v>
      </c>
      <c r="E151" s="403"/>
      <c r="F151" s="403"/>
      <c r="G151" s="403"/>
      <c r="H151" s="403"/>
      <c r="I151" s="403"/>
      <c r="J151" s="403"/>
      <c r="K151" s="403"/>
      <c r="L151" s="404"/>
      <c r="M151" s="405" t="s">
        <v>6</v>
      </c>
    </row>
    <row r="152" spans="1:13" ht="36" customHeight="1" thickBot="1">
      <c r="A152" s="1" t="s">
        <v>7</v>
      </c>
      <c r="B152" s="2" t="s">
        <v>8</v>
      </c>
      <c r="C152" s="3" t="s">
        <v>144</v>
      </c>
      <c r="D152" s="105" t="s">
        <v>153</v>
      </c>
      <c r="E152" s="106" t="s">
        <v>152</v>
      </c>
      <c r="F152" s="105" t="s">
        <v>149</v>
      </c>
      <c r="G152" s="233" t="s">
        <v>148</v>
      </c>
      <c r="H152" s="233" t="s">
        <v>147</v>
      </c>
      <c r="I152" s="233" t="s">
        <v>0</v>
      </c>
      <c r="J152" s="318" t="s">
        <v>1</v>
      </c>
      <c r="K152" s="317" t="s">
        <v>154</v>
      </c>
      <c r="L152" s="370" t="s">
        <v>151</v>
      </c>
      <c r="M152" s="406"/>
    </row>
    <row r="153" spans="1:13" ht="15" customHeight="1">
      <c r="A153" s="417" t="s">
        <v>119</v>
      </c>
      <c r="B153" s="338" t="s">
        <v>120</v>
      </c>
      <c r="C153" s="325">
        <f>19694.16+8688.6</f>
        <v>28382.760000000002</v>
      </c>
      <c r="D153" s="326"/>
      <c r="E153" s="327"/>
      <c r="F153" s="328">
        <v>28383</v>
      </c>
      <c r="G153" s="329"/>
      <c r="H153" s="329"/>
      <c r="I153" s="329"/>
      <c r="J153" s="327"/>
      <c r="K153" s="330">
        <f>G153+H153+I153+J153</f>
        <v>0</v>
      </c>
      <c r="L153" s="340">
        <f>D153+E153+F153+K153</f>
        <v>28383</v>
      </c>
      <c r="M153" s="331">
        <f>C153-D153-E153-F153-G153-H153-I153</f>
        <v>-0.23999999999796273</v>
      </c>
    </row>
    <row r="154" spans="1:13" ht="18" customHeight="1" thickBot="1">
      <c r="A154" s="418"/>
      <c r="B154" s="339" t="s">
        <v>121</v>
      </c>
      <c r="C154" s="332">
        <v>66000</v>
      </c>
      <c r="D154" s="333"/>
      <c r="E154" s="334"/>
      <c r="F154" s="335">
        <v>66000</v>
      </c>
      <c r="G154" s="336"/>
      <c r="H154" s="336"/>
      <c r="I154" s="336"/>
      <c r="J154" s="334"/>
      <c r="K154" s="330">
        <f>G154+H154+I154+J154</f>
        <v>0</v>
      </c>
      <c r="L154" s="340">
        <f>D154+E154+F154+K154</f>
        <v>66000</v>
      </c>
      <c r="M154" s="337">
        <f>C154-D154-E154-F154-G154-H154-I154</f>
        <v>0</v>
      </c>
    </row>
    <row r="155" spans="1:13" ht="15.75" customHeight="1" thickBot="1">
      <c r="A155" s="418"/>
      <c r="B155" s="121" t="s">
        <v>122</v>
      </c>
      <c r="C155" s="49">
        <f aca="true" t="shared" si="45" ref="C155:M155">SUM(C156:C162)</f>
        <v>1777323.04</v>
      </c>
      <c r="D155" s="136">
        <f t="shared" si="45"/>
        <v>773446</v>
      </c>
      <c r="E155" s="137">
        <f t="shared" si="45"/>
        <v>0</v>
      </c>
      <c r="F155" s="136">
        <f t="shared" si="45"/>
        <v>277000</v>
      </c>
      <c r="G155" s="243">
        <f t="shared" si="45"/>
        <v>150000</v>
      </c>
      <c r="H155" s="243">
        <f t="shared" si="45"/>
        <v>0</v>
      </c>
      <c r="I155" s="243">
        <f t="shared" si="45"/>
        <v>0</v>
      </c>
      <c r="J155" s="244">
        <f t="shared" si="45"/>
        <v>93000</v>
      </c>
      <c r="K155" s="152">
        <f>SUM(K156:K162)</f>
        <v>243000</v>
      </c>
      <c r="L155" s="33">
        <f>D155+E155+F155+K155</f>
        <v>1293446</v>
      </c>
      <c r="M155" s="49">
        <f t="shared" si="45"/>
        <v>576877.04</v>
      </c>
    </row>
    <row r="156" spans="1:13" ht="16.5" customHeight="1">
      <c r="A156" s="418"/>
      <c r="B156" s="125" t="s">
        <v>123</v>
      </c>
      <c r="C156" s="10">
        <f>176170+12164.04+309085</f>
        <v>497419.04000000004</v>
      </c>
      <c r="D156" s="57">
        <v>234940</v>
      </c>
      <c r="E156" s="58"/>
      <c r="F156" s="57">
        <v>120000</v>
      </c>
      <c r="G156" s="234"/>
      <c r="H156" s="234"/>
      <c r="I156" s="234"/>
      <c r="J156" s="235"/>
      <c r="K156" s="11">
        <f>G156+H156+I156+J156</f>
        <v>0</v>
      </c>
      <c r="L156" s="11">
        <f>D156+E156+F156+K156</f>
        <v>354940</v>
      </c>
      <c r="M156" s="4">
        <f aca="true" t="shared" si="46" ref="M156:M163">C156-D156-E156-F156-G156-H156-I156</f>
        <v>142479.04000000004</v>
      </c>
    </row>
    <row r="157" spans="1:13" ht="11.25">
      <c r="A157" s="418"/>
      <c r="B157" s="139" t="s">
        <v>124</v>
      </c>
      <c r="C157" s="6">
        <v>76650</v>
      </c>
      <c r="D157" s="53"/>
      <c r="E157" s="54"/>
      <c r="F157" s="53">
        <v>30000</v>
      </c>
      <c r="G157" s="236"/>
      <c r="H157" s="236"/>
      <c r="I157" s="236"/>
      <c r="J157" s="237"/>
      <c r="K157" s="11">
        <f aca="true" t="shared" si="47" ref="K157:K162">G157+H157+I157+J157</f>
        <v>0</v>
      </c>
      <c r="L157" s="11">
        <f aca="true" t="shared" si="48" ref="L157:L162">D157+E157+F157+K157</f>
        <v>30000</v>
      </c>
      <c r="M157" s="4">
        <f t="shared" si="46"/>
        <v>46650</v>
      </c>
    </row>
    <row r="158" spans="1:13" ht="11.25">
      <c r="A158" s="418"/>
      <c r="B158" s="139" t="s">
        <v>125</v>
      </c>
      <c r="C158" s="6">
        <v>201619</v>
      </c>
      <c r="D158" s="53">
        <v>201619</v>
      </c>
      <c r="E158" s="54"/>
      <c r="F158" s="53"/>
      <c r="G158" s="236"/>
      <c r="H158" s="236"/>
      <c r="I158" s="236"/>
      <c r="J158" s="237"/>
      <c r="K158" s="11">
        <f t="shared" si="47"/>
        <v>0</v>
      </c>
      <c r="L158" s="11">
        <f t="shared" si="48"/>
        <v>201619</v>
      </c>
      <c r="M158" s="4">
        <f t="shared" si="46"/>
        <v>0</v>
      </c>
    </row>
    <row r="159" spans="1:13" ht="23.25" customHeight="1">
      <c r="A159" s="418"/>
      <c r="B159" s="139" t="s">
        <v>176</v>
      </c>
      <c r="C159" s="6">
        <v>301538</v>
      </c>
      <c r="D159" s="53">
        <v>301538</v>
      </c>
      <c r="E159" s="54"/>
      <c r="F159" s="53"/>
      <c r="G159" s="236"/>
      <c r="H159" s="236"/>
      <c r="I159" s="236"/>
      <c r="J159" s="237"/>
      <c r="K159" s="11">
        <f t="shared" si="47"/>
        <v>0</v>
      </c>
      <c r="L159" s="11">
        <f t="shared" si="48"/>
        <v>301538</v>
      </c>
      <c r="M159" s="4">
        <f t="shared" si="46"/>
        <v>0</v>
      </c>
    </row>
    <row r="160" spans="1:13" ht="23.25" customHeight="1">
      <c r="A160" s="418"/>
      <c r="B160" s="139" t="s">
        <v>177</v>
      </c>
      <c r="C160" s="6">
        <v>624748</v>
      </c>
      <c r="D160" s="53"/>
      <c r="E160" s="54"/>
      <c r="F160" s="53">
        <f>180000-53000</f>
        <v>127000</v>
      </c>
      <c r="G160" s="236">
        <v>150000</v>
      </c>
      <c r="H160" s="236"/>
      <c r="I160" s="236"/>
      <c r="J160" s="237">
        <v>53000</v>
      </c>
      <c r="K160" s="11">
        <f t="shared" si="47"/>
        <v>203000</v>
      </c>
      <c r="L160" s="11">
        <f t="shared" si="48"/>
        <v>330000</v>
      </c>
      <c r="M160" s="4">
        <f t="shared" si="46"/>
        <v>347748</v>
      </c>
    </row>
    <row r="161" spans="1:13" ht="23.25" customHeight="1">
      <c r="A161" s="418"/>
      <c r="B161" s="139" t="s">
        <v>126</v>
      </c>
      <c r="C161" s="6">
        <v>35349</v>
      </c>
      <c r="D161" s="53">
        <v>35349</v>
      </c>
      <c r="E161" s="54"/>
      <c r="F161" s="53"/>
      <c r="G161" s="236"/>
      <c r="H161" s="236"/>
      <c r="I161" s="236"/>
      <c r="J161" s="237"/>
      <c r="K161" s="11">
        <f t="shared" si="47"/>
        <v>0</v>
      </c>
      <c r="L161" s="11">
        <f t="shared" si="48"/>
        <v>35349</v>
      </c>
      <c r="M161" s="4">
        <f t="shared" si="46"/>
        <v>0</v>
      </c>
    </row>
    <row r="162" spans="1:13" ht="16.5" customHeight="1">
      <c r="A162" s="418"/>
      <c r="B162" s="139" t="s">
        <v>127</v>
      </c>
      <c r="C162" s="6">
        <v>40000</v>
      </c>
      <c r="D162" s="53"/>
      <c r="E162" s="54"/>
      <c r="F162" s="53">
        <v>0</v>
      </c>
      <c r="G162" s="236"/>
      <c r="H162" s="236"/>
      <c r="I162" s="236"/>
      <c r="J162" s="237">
        <v>40000</v>
      </c>
      <c r="K162" s="11">
        <f t="shared" si="47"/>
        <v>40000</v>
      </c>
      <c r="L162" s="11">
        <f t="shared" si="48"/>
        <v>40000</v>
      </c>
      <c r="M162" s="4">
        <f t="shared" si="46"/>
        <v>40000</v>
      </c>
    </row>
    <row r="163" spans="1:13" ht="14.25" customHeight="1" thickBot="1">
      <c r="A163" s="418"/>
      <c r="B163" s="157" t="s">
        <v>128</v>
      </c>
      <c r="C163" s="32">
        <f>291502-107159</f>
        <v>184343</v>
      </c>
      <c r="D163" s="73"/>
      <c r="E163" s="72"/>
      <c r="F163" s="71">
        <v>184343</v>
      </c>
      <c r="G163" s="232"/>
      <c r="H163" s="232"/>
      <c r="I163" s="232"/>
      <c r="J163" s="238"/>
      <c r="K163" s="29">
        <f>G163+H163+I163+J163</f>
        <v>0</v>
      </c>
      <c r="L163" s="29">
        <f aca="true" t="shared" si="49" ref="L163:L168">D163+E163+F163+K163</f>
        <v>184343</v>
      </c>
      <c r="M163" s="30">
        <f t="shared" si="46"/>
        <v>0</v>
      </c>
    </row>
    <row r="164" spans="1:13" ht="17.25" customHeight="1" thickBot="1">
      <c r="A164" s="418"/>
      <c r="B164" s="158" t="s">
        <v>129</v>
      </c>
      <c r="C164" s="44">
        <f>+C165+C168</f>
        <v>55000</v>
      </c>
      <c r="D164" s="159">
        <f aca="true" t="shared" si="50" ref="D164:M164">SUM(D165:D168)</f>
        <v>828313</v>
      </c>
      <c r="E164" s="160">
        <f t="shared" si="50"/>
        <v>0</v>
      </c>
      <c r="F164" s="159">
        <f t="shared" si="50"/>
        <v>50000</v>
      </c>
      <c r="G164" s="243">
        <f t="shared" si="50"/>
        <v>0</v>
      </c>
      <c r="H164" s="243">
        <f t="shared" si="50"/>
        <v>0</v>
      </c>
      <c r="I164" s="243">
        <f t="shared" si="50"/>
        <v>0</v>
      </c>
      <c r="J164" s="244">
        <f t="shared" si="50"/>
        <v>0</v>
      </c>
      <c r="K164" s="205">
        <f>K165+K166+K167+K168</f>
        <v>0</v>
      </c>
      <c r="L164" s="91">
        <f t="shared" si="49"/>
        <v>878313</v>
      </c>
      <c r="M164" s="161">
        <f t="shared" si="50"/>
        <v>5000</v>
      </c>
    </row>
    <row r="165" spans="1:13" ht="22.5">
      <c r="A165" s="418"/>
      <c r="B165" s="162" t="s">
        <v>130</v>
      </c>
      <c r="C165" s="45">
        <v>55000</v>
      </c>
      <c r="D165" s="57"/>
      <c r="E165" s="58"/>
      <c r="F165" s="57">
        <v>50000</v>
      </c>
      <c r="G165" s="234"/>
      <c r="H165" s="234"/>
      <c r="I165" s="234"/>
      <c r="J165" s="235"/>
      <c r="K165" s="11">
        <f>G165+H165+I165+J165</f>
        <v>0</v>
      </c>
      <c r="L165" s="11">
        <f t="shared" si="49"/>
        <v>50000</v>
      </c>
      <c r="M165" s="12">
        <f>C165-D165-E165-F165-G165-H165-I165</f>
        <v>5000</v>
      </c>
    </row>
    <row r="166" spans="1:13" ht="22.5">
      <c r="A166" s="418"/>
      <c r="B166" s="139" t="s">
        <v>179</v>
      </c>
      <c r="C166" s="46">
        <v>434430</v>
      </c>
      <c r="D166" s="53">
        <v>434430</v>
      </c>
      <c r="E166" s="54"/>
      <c r="F166" s="53"/>
      <c r="G166" s="236"/>
      <c r="H166" s="236"/>
      <c r="I166" s="236"/>
      <c r="J166" s="237"/>
      <c r="K166" s="11">
        <f>G166+H166+I166+J166</f>
        <v>0</v>
      </c>
      <c r="L166" s="11">
        <f t="shared" si="49"/>
        <v>434430</v>
      </c>
      <c r="M166" s="12">
        <f>C166-D166-E166-F166-G166-H166-I166</f>
        <v>0</v>
      </c>
    </row>
    <row r="167" spans="1:13" ht="22.5">
      <c r="A167" s="418"/>
      <c r="B167" s="139" t="s">
        <v>178</v>
      </c>
      <c r="C167" s="21">
        <v>393883</v>
      </c>
      <c r="D167" s="83">
        <v>393883</v>
      </c>
      <c r="E167" s="84"/>
      <c r="F167" s="83"/>
      <c r="G167" s="254"/>
      <c r="H167" s="254"/>
      <c r="I167" s="254"/>
      <c r="J167" s="255"/>
      <c r="K167" s="11">
        <f>G167+H167+I167+J167</f>
        <v>0</v>
      </c>
      <c r="L167" s="11">
        <f t="shared" si="49"/>
        <v>393883</v>
      </c>
      <c r="M167" s="12">
        <f>C167-D167-E167-F167-G167-H167-I167</f>
        <v>0</v>
      </c>
    </row>
    <row r="168" spans="1:13" ht="14.25" customHeight="1" thickBot="1">
      <c r="A168" s="418"/>
      <c r="B168" s="163"/>
      <c r="C168" s="47"/>
      <c r="D168" s="67"/>
      <c r="E168" s="68"/>
      <c r="F168" s="67"/>
      <c r="G168" s="232"/>
      <c r="H168" s="232"/>
      <c r="I168" s="232"/>
      <c r="J168" s="238"/>
      <c r="K168" s="11">
        <f>G168+H168+I168+J168</f>
        <v>0</v>
      </c>
      <c r="L168" s="11">
        <f t="shared" si="49"/>
        <v>0</v>
      </c>
      <c r="M168" s="12"/>
    </row>
    <row r="169" spans="1:13" ht="13.5" thickBot="1">
      <c r="A169" s="413"/>
      <c r="B169" s="144" t="s">
        <v>131</v>
      </c>
      <c r="C169" s="41">
        <f>+C153+C154+C155+C163+C164</f>
        <v>2111048.8</v>
      </c>
      <c r="D169" s="81">
        <f>+D153+D154+D155+D163+D164</f>
        <v>1601759</v>
      </c>
      <c r="E169" s="82">
        <f aca="true" t="shared" si="51" ref="E169:M169">+E153+E154+E155+E163+E164</f>
        <v>0</v>
      </c>
      <c r="F169" s="95">
        <f t="shared" si="51"/>
        <v>605726</v>
      </c>
      <c r="G169" s="252">
        <f t="shared" si="51"/>
        <v>150000</v>
      </c>
      <c r="H169" s="252">
        <f t="shared" si="51"/>
        <v>0</v>
      </c>
      <c r="I169" s="252">
        <f t="shared" si="51"/>
        <v>0</v>
      </c>
      <c r="J169" s="253">
        <f t="shared" si="51"/>
        <v>93000</v>
      </c>
      <c r="K169" s="42"/>
      <c r="L169" s="372">
        <f t="shared" si="51"/>
        <v>2450485</v>
      </c>
      <c r="M169" s="42">
        <f t="shared" si="51"/>
        <v>581876.8</v>
      </c>
    </row>
    <row r="170" spans="1:13" ht="14.25" customHeight="1" hidden="1" thickBot="1">
      <c r="A170" s="411" t="s">
        <v>132</v>
      </c>
      <c r="B170" s="121" t="s">
        <v>133</v>
      </c>
      <c r="C170" s="49">
        <f aca="true" t="shared" si="52" ref="C170:I170">C171+C172</f>
        <v>229669</v>
      </c>
      <c r="D170" s="136">
        <f t="shared" si="52"/>
        <v>0</v>
      </c>
      <c r="E170" s="137">
        <f t="shared" si="52"/>
        <v>0</v>
      </c>
      <c r="F170" s="136">
        <f t="shared" si="52"/>
        <v>0</v>
      </c>
      <c r="G170" s="243">
        <f t="shared" si="52"/>
        <v>0</v>
      </c>
      <c r="H170" s="243">
        <f t="shared" si="52"/>
        <v>0</v>
      </c>
      <c r="I170" s="243">
        <f t="shared" si="52"/>
        <v>0</v>
      </c>
      <c r="J170" s="244"/>
      <c r="K170" s="152"/>
      <c r="L170" s="183">
        <f>D170+E170+F170+G170+H170+I170</f>
        <v>0</v>
      </c>
      <c r="M170" s="49">
        <f>M171+M172</f>
        <v>229669</v>
      </c>
    </row>
    <row r="171" spans="1:13" ht="21.75" customHeight="1" hidden="1">
      <c r="A171" s="412"/>
      <c r="B171" s="125" t="s">
        <v>134</v>
      </c>
      <c r="C171" s="10"/>
      <c r="D171" s="57"/>
      <c r="E171" s="58"/>
      <c r="F171" s="57"/>
      <c r="G171" s="234"/>
      <c r="H171" s="234"/>
      <c r="I171" s="256"/>
      <c r="J171" s="257"/>
      <c r="K171" s="203"/>
      <c r="L171" s="11">
        <f>D171+E171+F171+G171+H171+I171</f>
        <v>0</v>
      </c>
      <c r="M171" s="12">
        <f>C171-D171-E171-F171-G171-H171-I171</f>
        <v>0</v>
      </c>
    </row>
    <row r="172" spans="1:13" ht="22.5" hidden="1">
      <c r="A172" s="412"/>
      <c r="B172" s="139" t="s">
        <v>135</v>
      </c>
      <c r="C172" s="6">
        <v>229669</v>
      </c>
      <c r="D172" s="53"/>
      <c r="E172" s="54"/>
      <c r="F172" s="53"/>
      <c r="G172" s="236"/>
      <c r="H172" s="236"/>
      <c r="I172" s="241"/>
      <c r="J172" s="242"/>
      <c r="K172" s="204"/>
      <c r="L172" s="5">
        <f>D172+E172+F172+G172+H172+I172</f>
        <v>0</v>
      </c>
      <c r="M172" s="4">
        <f>C172-D172-E172-F172-G172-H172-I172</f>
        <v>229669</v>
      </c>
    </row>
    <row r="173" spans="1:13" ht="12" hidden="1" thickBot="1">
      <c r="A173" s="412"/>
      <c r="B173" s="164"/>
      <c r="C173" s="48"/>
      <c r="D173" s="80"/>
      <c r="E173" s="85"/>
      <c r="F173" s="96"/>
      <c r="G173" s="232"/>
      <c r="H173" s="232"/>
      <c r="I173" s="232"/>
      <c r="J173" s="238"/>
      <c r="K173" s="22"/>
      <c r="L173" s="5">
        <f>D173+E173+F173+G173+H173+I173</f>
        <v>0</v>
      </c>
      <c r="M173" s="4">
        <f>C173-D173-E173-F173-G173-H173-I173</f>
        <v>0</v>
      </c>
    </row>
    <row r="174" spans="1:13" s="170" customFormat="1" ht="12.75" hidden="1" thickBot="1">
      <c r="A174" s="413"/>
      <c r="B174" s="165" t="s">
        <v>150</v>
      </c>
      <c r="C174" s="166">
        <f aca="true" t="shared" si="53" ref="C174:L174">+C170+C173</f>
        <v>229669</v>
      </c>
      <c r="D174" s="167">
        <f t="shared" si="53"/>
        <v>0</v>
      </c>
      <c r="E174" s="168">
        <f t="shared" si="53"/>
        <v>0</v>
      </c>
      <c r="F174" s="167">
        <f t="shared" si="53"/>
        <v>0</v>
      </c>
      <c r="G174" s="258">
        <f t="shared" si="53"/>
        <v>0</v>
      </c>
      <c r="H174" s="258">
        <f t="shared" si="53"/>
        <v>0</v>
      </c>
      <c r="I174" s="258">
        <f t="shared" si="53"/>
        <v>0</v>
      </c>
      <c r="J174" s="259">
        <f t="shared" si="53"/>
        <v>0</v>
      </c>
      <c r="K174" s="169"/>
      <c r="L174" s="169">
        <f t="shared" si="53"/>
        <v>0</v>
      </c>
      <c r="M174" s="166">
        <f>+M170+M173</f>
        <v>229669</v>
      </c>
    </row>
    <row r="175" spans="1:13" s="170" customFormat="1" ht="20.25" customHeight="1" thickBot="1">
      <c r="A175" s="171"/>
      <c r="B175" s="341" t="s">
        <v>156</v>
      </c>
      <c r="C175" s="342">
        <f aca="true" t="shared" si="54" ref="C175:M175">+C41+C60+C95+C133+C150+C174+C169+C44</f>
        <v>59879678.67608585</v>
      </c>
      <c r="D175" s="343">
        <f t="shared" si="54"/>
        <v>47833294.876085855</v>
      </c>
      <c r="E175" s="344">
        <f t="shared" si="54"/>
        <v>2357516</v>
      </c>
      <c r="F175" s="343">
        <f t="shared" si="54"/>
        <v>5074781</v>
      </c>
      <c r="G175" s="345">
        <f t="shared" si="54"/>
        <v>317806</v>
      </c>
      <c r="H175" s="345">
        <f t="shared" si="54"/>
        <v>519403</v>
      </c>
      <c r="I175" s="345">
        <f t="shared" si="54"/>
        <v>473000</v>
      </c>
      <c r="J175" s="344">
        <f t="shared" si="54"/>
        <v>93000</v>
      </c>
      <c r="K175" s="346">
        <f>G175+H175+I175+J175</f>
        <v>1403209</v>
      </c>
      <c r="L175" s="376">
        <f t="shared" si="54"/>
        <v>56668800.876085855</v>
      </c>
      <c r="M175" s="342">
        <f t="shared" si="54"/>
        <v>5769845.8</v>
      </c>
    </row>
    <row r="176" s="102" customFormat="1" ht="11.25"/>
    <row r="177" s="102" customFormat="1" ht="13.5" customHeight="1"/>
    <row r="178" s="102" customFormat="1" ht="35.25" customHeight="1" thickBot="1">
      <c r="B178" s="347" t="s">
        <v>180</v>
      </c>
    </row>
    <row r="179" spans="1:13" ht="18.75" customHeight="1" thickBot="1">
      <c r="A179" s="103"/>
      <c r="B179" s="181"/>
      <c r="C179" s="182"/>
      <c r="D179" s="407" t="s">
        <v>5</v>
      </c>
      <c r="E179" s="408"/>
      <c r="F179" s="408"/>
      <c r="G179" s="408"/>
      <c r="H179" s="408"/>
      <c r="I179" s="408"/>
      <c r="J179" s="408"/>
      <c r="K179" s="408"/>
      <c r="L179" s="409"/>
      <c r="M179" s="405" t="s">
        <v>6</v>
      </c>
    </row>
    <row r="180" spans="1:13" ht="65.25" customHeight="1" thickBot="1">
      <c r="A180" s="1" t="s">
        <v>7</v>
      </c>
      <c r="B180" s="2" t="s">
        <v>8</v>
      </c>
      <c r="C180" s="3" t="s">
        <v>144</v>
      </c>
      <c r="D180" s="351" t="s">
        <v>153</v>
      </c>
      <c r="E180" s="352" t="s">
        <v>152</v>
      </c>
      <c r="F180" s="353" t="s">
        <v>149</v>
      </c>
      <c r="G180" s="354" t="s">
        <v>148</v>
      </c>
      <c r="H180" s="354" t="s">
        <v>147</v>
      </c>
      <c r="I180" s="354" t="s">
        <v>0</v>
      </c>
      <c r="J180" s="355" t="s">
        <v>1</v>
      </c>
      <c r="K180" s="356" t="s">
        <v>154</v>
      </c>
      <c r="L180" s="369" t="s">
        <v>174</v>
      </c>
      <c r="M180" s="410"/>
    </row>
    <row r="181" spans="1:13" s="102" customFormat="1" ht="19.5" customHeight="1">
      <c r="A181" s="172"/>
      <c r="B181" s="263" t="s">
        <v>136</v>
      </c>
      <c r="C181" s="191"/>
      <c r="D181" s="196"/>
      <c r="E181" s="197"/>
      <c r="F181" s="196"/>
      <c r="G181" s="173"/>
      <c r="H181" s="173"/>
      <c r="I181" s="173"/>
      <c r="J181" s="197"/>
      <c r="K181" s="206"/>
      <c r="L181" s="191"/>
      <c r="M181" s="186"/>
    </row>
    <row r="182" spans="1:13" s="102" customFormat="1" ht="19.5" customHeight="1">
      <c r="A182" s="357" t="s">
        <v>36</v>
      </c>
      <c r="B182" s="260" t="s">
        <v>155</v>
      </c>
      <c r="C182" s="192">
        <v>724050</v>
      </c>
      <c r="D182" s="198">
        <v>724050</v>
      </c>
      <c r="E182" s="199"/>
      <c r="F182" s="198"/>
      <c r="G182" s="174"/>
      <c r="H182" s="174"/>
      <c r="I182" s="174"/>
      <c r="J182" s="199"/>
      <c r="K182" s="270">
        <f>G182+H182+I182+J182</f>
        <v>0</v>
      </c>
      <c r="L182" s="271">
        <f>D182+E182+F182+K182</f>
        <v>724050</v>
      </c>
      <c r="M182" s="187">
        <v>0</v>
      </c>
    </row>
    <row r="183" spans="1:13" ht="19.5" customHeight="1">
      <c r="A183" s="358" t="s">
        <v>137</v>
      </c>
      <c r="B183" s="261" t="s">
        <v>157</v>
      </c>
      <c r="C183" s="193">
        <f>C95</f>
        <v>12787069.673363427</v>
      </c>
      <c r="D183" s="200">
        <f aca="true" t="shared" si="55" ref="D183:J183">D95</f>
        <v>12562071.673363427</v>
      </c>
      <c r="E183" s="201">
        <f t="shared" si="55"/>
        <v>1613540</v>
      </c>
      <c r="F183" s="200">
        <f t="shared" si="55"/>
        <v>225000</v>
      </c>
      <c r="G183" s="175">
        <f t="shared" si="55"/>
        <v>0</v>
      </c>
      <c r="H183" s="175">
        <f t="shared" si="55"/>
        <v>0</v>
      </c>
      <c r="I183" s="175">
        <f t="shared" si="55"/>
        <v>0</v>
      </c>
      <c r="J183" s="201">
        <f t="shared" si="55"/>
        <v>0</v>
      </c>
      <c r="K183" s="270">
        <f aca="true" t="shared" si="56" ref="K183:K188">G183+H183+I183+J183</f>
        <v>0</v>
      </c>
      <c r="L183" s="271">
        <f aca="true" t="shared" si="57" ref="L183:L188">D183+E183+F183+K183</f>
        <v>14400611.673363427</v>
      </c>
      <c r="M183" s="188">
        <f>M95+2</f>
        <v>0</v>
      </c>
    </row>
    <row r="184" spans="1:13" ht="19.5" customHeight="1">
      <c r="A184" s="358" t="s">
        <v>138</v>
      </c>
      <c r="B184" s="262" t="s">
        <v>158</v>
      </c>
      <c r="C184" s="193">
        <f>C133</f>
        <v>25042597.20272243</v>
      </c>
      <c r="D184" s="200">
        <f aca="true" t="shared" si="58" ref="D184:M184">D133</f>
        <v>24449338.20272243</v>
      </c>
      <c r="E184" s="201">
        <f t="shared" si="58"/>
        <v>0</v>
      </c>
      <c r="F184" s="200">
        <f t="shared" si="58"/>
        <v>344513</v>
      </c>
      <c r="G184" s="175">
        <f t="shared" si="58"/>
        <v>15640</v>
      </c>
      <c r="H184" s="175">
        <f t="shared" si="58"/>
        <v>0</v>
      </c>
      <c r="I184" s="175">
        <f t="shared" si="58"/>
        <v>0</v>
      </c>
      <c r="J184" s="201">
        <f t="shared" si="58"/>
        <v>0</v>
      </c>
      <c r="K184" s="270">
        <f t="shared" si="56"/>
        <v>15640</v>
      </c>
      <c r="L184" s="271">
        <f t="shared" si="57"/>
        <v>24809491.20272243</v>
      </c>
      <c r="M184" s="188">
        <f t="shared" si="58"/>
        <v>233106</v>
      </c>
    </row>
    <row r="185" spans="1:13" ht="19.5" customHeight="1">
      <c r="A185" s="358" t="s">
        <v>139</v>
      </c>
      <c r="B185" s="261" t="s">
        <v>159</v>
      </c>
      <c r="C185" s="193">
        <f>C150</f>
        <v>600520</v>
      </c>
      <c r="D185" s="200">
        <f aca="true" t="shared" si="59" ref="D185:M185">D150</f>
        <v>368805</v>
      </c>
      <c r="E185" s="201">
        <f t="shared" si="59"/>
        <v>0</v>
      </c>
      <c r="F185" s="200">
        <f t="shared" si="59"/>
        <v>241179</v>
      </c>
      <c r="G185" s="175">
        <f t="shared" si="59"/>
        <v>0</v>
      </c>
      <c r="H185" s="175">
        <f t="shared" si="59"/>
        <v>0</v>
      </c>
      <c r="I185" s="175">
        <f t="shared" si="59"/>
        <v>0</v>
      </c>
      <c r="J185" s="201">
        <f t="shared" si="59"/>
        <v>0</v>
      </c>
      <c r="K185" s="270">
        <f t="shared" si="56"/>
        <v>0</v>
      </c>
      <c r="L185" s="271">
        <f t="shared" si="57"/>
        <v>609984</v>
      </c>
      <c r="M185" s="188">
        <f t="shared" si="59"/>
        <v>14651</v>
      </c>
    </row>
    <row r="186" spans="1:13" ht="19.5" customHeight="1">
      <c r="A186" s="358" t="s">
        <v>140</v>
      </c>
      <c r="B186" s="262" t="s">
        <v>160</v>
      </c>
      <c r="C186" s="193">
        <f>C169</f>
        <v>2111048.8</v>
      </c>
      <c r="D186" s="200">
        <f aca="true" t="shared" si="60" ref="D186:M186">D169</f>
        <v>1601759</v>
      </c>
      <c r="E186" s="201">
        <f t="shared" si="60"/>
        <v>0</v>
      </c>
      <c r="F186" s="200">
        <f t="shared" si="60"/>
        <v>605726</v>
      </c>
      <c r="G186" s="175">
        <f t="shared" si="60"/>
        <v>150000</v>
      </c>
      <c r="H186" s="175">
        <f t="shared" si="60"/>
        <v>0</v>
      </c>
      <c r="I186" s="175">
        <f t="shared" si="60"/>
        <v>0</v>
      </c>
      <c r="J186" s="201">
        <f t="shared" si="60"/>
        <v>93000</v>
      </c>
      <c r="K186" s="270">
        <f t="shared" si="56"/>
        <v>243000</v>
      </c>
      <c r="L186" s="271">
        <f t="shared" si="57"/>
        <v>2450485</v>
      </c>
      <c r="M186" s="188">
        <f t="shared" si="60"/>
        <v>581876.8</v>
      </c>
    </row>
    <row r="187" spans="1:13" ht="19.5" customHeight="1">
      <c r="A187" s="358" t="s">
        <v>141</v>
      </c>
      <c r="B187" s="262" t="s">
        <v>161</v>
      </c>
      <c r="C187" s="193">
        <f>C60</f>
        <v>5111992</v>
      </c>
      <c r="D187" s="200">
        <f aca="true" t="shared" si="61" ref="D187:M187">D60</f>
        <v>4010701</v>
      </c>
      <c r="E187" s="201">
        <f t="shared" si="61"/>
        <v>0</v>
      </c>
      <c r="F187" s="200">
        <f t="shared" si="61"/>
        <v>779400</v>
      </c>
      <c r="G187" s="175">
        <f t="shared" si="61"/>
        <v>48600</v>
      </c>
      <c r="H187" s="175">
        <f t="shared" si="61"/>
        <v>53785</v>
      </c>
      <c r="I187" s="175">
        <f t="shared" si="61"/>
        <v>0</v>
      </c>
      <c r="J187" s="201">
        <f t="shared" si="61"/>
        <v>0</v>
      </c>
      <c r="K187" s="270">
        <f t="shared" si="56"/>
        <v>102385</v>
      </c>
      <c r="L187" s="271">
        <f t="shared" si="57"/>
        <v>4892486</v>
      </c>
      <c r="M187" s="188">
        <f t="shared" si="61"/>
        <v>219506</v>
      </c>
    </row>
    <row r="188" spans="1:13" ht="19.5" customHeight="1" thickBot="1">
      <c r="A188" s="359" t="s">
        <v>142</v>
      </c>
      <c r="B188" s="264" t="s">
        <v>162</v>
      </c>
      <c r="C188" s="265">
        <f>C41</f>
        <v>13272732</v>
      </c>
      <c r="D188" s="266">
        <f aca="true" t="shared" si="62" ref="D188:M188">D41</f>
        <v>4116570</v>
      </c>
      <c r="E188" s="267">
        <f t="shared" si="62"/>
        <v>743976</v>
      </c>
      <c r="F188" s="266">
        <f t="shared" si="62"/>
        <v>2878963</v>
      </c>
      <c r="G188" s="268">
        <f t="shared" si="62"/>
        <v>103566</v>
      </c>
      <c r="H188" s="268">
        <f t="shared" si="62"/>
        <v>465618</v>
      </c>
      <c r="I188" s="268">
        <f t="shared" si="62"/>
        <v>473000</v>
      </c>
      <c r="J188" s="267">
        <f t="shared" si="62"/>
        <v>0</v>
      </c>
      <c r="K188" s="272">
        <f t="shared" si="56"/>
        <v>1042184</v>
      </c>
      <c r="L188" s="273">
        <f t="shared" si="57"/>
        <v>8781693</v>
      </c>
      <c r="M188" s="269">
        <f t="shared" si="62"/>
        <v>4491039</v>
      </c>
    </row>
    <row r="189" spans="1:13" ht="15" customHeight="1" hidden="1">
      <c r="A189" s="176"/>
      <c r="B189" s="184"/>
      <c r="C189" s="194"/>
      <c r="D189" s="176"/>
      <c r="E189" s="178"/>
      <c r="F189" s="176"/>
      <c r="G189" s="177"/>
      <c r="H189" s="177"/>
      <c r="I189" s="177"/>
      <c r="J189" s="178"/>
      <c r="K189" s="189"/>
      <c r="L189" s="194"/>
      <c r="M189" s="189"/>
    </row>
    <row r="190" spans="1:13" ht="12" hidden="1" thickBot="1">
      <c r="A190" s="179"/>
      <c r="B190" s="185" t="s">
        <v>143</v>
      </c>
      <c r="C190" s="195">
        <f>C174</f>
        <v>229669</v>
      </c>
      <c r="D190" s="361">
        <f aca="true" t="shared" si="63" ref="D190:M190">D174</f>
        <v>0</v>
      </c>
      <c r="E190" s="362">
        <f t="shared" si="63"/>
        <v>0</v>
      </c>
      <c r="F190" s="361">
        <f t="shared" si="63"/>
        <v>0</v>
      </c>
      <c r="G190" s="363">
        <f t="shared" si="63"/>
        <v>0</v>
      </c>
      <c r="H190" s="363">
        <f t="shared" si="63"/>
        <v>0</v>
      </c>
      <c r="I190" s="363">
        <f t="shared" si="63"/>
        <v>0</v>
      </c>
      <c r="J190" s="362">
        <f t="shared" si="63"/>
        <v>0</v>
      </c>
      <c r="K190" s="364"/>
      <c r="L190" s="365">
        <f t="shared" si="63"/>
        <v>0</v>
      </c>
      <c r="M190" s="190">
        <f t="shared" si="63"/>
        <v>229669</v>
      </c>
    </row>
    <row r="191" spans="1:13" ht="29.25" customHeight="1" thickBot="1">
      <c r="A191" s="360"/>
      <c r="B191" s="341" t="s">
        <v>156</v>
      </c>
      <c r="C191" s="360"/>
      <c r="D191" s="366">
        <f>D182+D183+D184+D185+D186+D187+D188</f>
        <v>47833294.876085855</v>
      </c>
      <c r="E191" s="367">
        <f aca="true" t="shared" si="64" ref="E191:L191">E182+E183+E184+E185+E186+E187+E188</f>
        <v>2357516</v>
      </c>
      <c r="F191" s="366">
        <f t="shared" si="64"/>
        <v>5074781</v>
      </c>
      <c r="G191" s="368">
        <f t="shared" si="64"/>
        <v>317806</v>
      </c>
      <c r="H191" s="368">
        <f t="shared" si="64"/>
        <v>519403</v>
      </c>
      <c r="I191" s="368">
        <f t="shared" si="64"/>
        <v>473000</v>
      </c>
      <c r="J191" s="368">
        <f t="shared" si="64"/>
        <v>93000</v>
      </c>
      <c r="K191" s="367">
        <f t="shared" si="64"/>
        <v>1403209</v>
      </c>
      <c r="L191" s="377">
        <f t="shared" si="64"/>
        <v>56668800.876085855</v>
      </c>
      <c r="M191" s="360"/>
    </row>
    <row r="192" spans="1:13" ht="11.25">
      <c r="A192" s="360"/>
      <c r="B192" s="360"/>
      <c r="C192" s="360"/>
      <c r="D192" s="360"/>
      <c r="E192" s="360"/>
      <c r="F192" s="360"/>
      <c r="G192" s="360"/>
      <c r="H192" s="360"/>
      <c r="I192" s="360"/>
      <c r="J192" s="360"/>
      <c r="K192" s="360"/>
      <c r="L192" s="360"/>
      <c r="M192" s="360"/>
    </row>
    <row r="193" spans="1:13" ht="11.25">
      <c r="A193" s="360"/>
      <c r="B193" s="360"/>
      <c r="C193" s="360"/>
      <c r="D193" s="360"/>
      <c r="E193" s="360"/>
      <c r="F193" s="360"/>
      <c r="G193" s="360"/>
      <c r="H193" s="360"/>
      <c r="I193" s="360"/>
      <c r="J193" s="360"/>
      <c r="K193" s="360"/>
      <c r="L193" s="360"/>
      <c r="M193" s="360"/>
    </row>
    <row r="194" spans="1:13" ht="11.25">
      <c r="A194" s="360"/>
      <c r="B194" s="360"/>
      <c r="C194" s="360"/>
      <c r="D194" s="360"/>
      <c r="E194" s="360"/>
      <c r="F194" s="360"/>
      <c r="G194" s="360"/>
      <c r="H194" s="360"/>
      <c r="I194" s="360"/>
      <c r="J194" s="360"/>
      <c r="K194" s="360"/>
      <c r="L194" s="360"/>
      <c r="M194" s="360"/>
    </row>
    <row r="195" spans="1:13" ht="11.25">
      <c r="A195" s="360"/>
      <c r="B195" s="360"/>
      <c r="C195" s="360"/>
      <c r="D195" s="360"/>
      <c r="E195" s="360"/>
      <c r="F195" s="360"/>
      <c r="G195" s="360"/>
      <c r="H195" s="360"/>
      <c r="I195" s="360"/>
      <c r="J195" s="360"/>
      <c r="K195" s="360"/>
      <c r="L195" s="360"/>
      <c r="M195" s="360"/>
    </row>
    <row r="196" spans="1:13" ht="11.25">
      <c r="A196" s="360"/>
      <c r="B196" s="360"/>
      <c r="C196" s="360"/>
      <c r="D196" s="360"/>
      <c r="E196" s="360"/>
      <c r="F196" s="360"/>
      <c r="G196" s="360"/>
      <c r="H196" s="360"/>
      <c r="I196" s="360"/>
      <c r="J196" s="360"/>
      <c r="K196" s="360"/>
      <c r="L196" s="360"/>
      <c r="M196" s="360"/>
    </row>
    <row r="197" spans="1:13" ht="11.2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1:13" ht="11.2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1:13" ht="11.2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1:13" ht="11.2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1:13" ht="11.2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1:13" ht="11.2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1:13" ht="11.2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</row>
    <row r="204" spans="1:13" ht="11.2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</row>
    <row r="205" spans="1:13" ht="11.2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</row>
    <row r="206" spans="1:13" ht="11.2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1:13" ht="11.2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1:13" ht="11.2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</row>
    <row r="209" spans="1:13" ht="11.2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</row>
    <row r="210" s="102" customFormat="1" ht="11.25"/>
    <row r="211" s="102" customFormat="1" ht="11.25"/>
    <row r="212" s="102" customFormat="1" ht="11.25"/>
    <row r="213" s="102" customFormat="1" ht="11.25"/>
    <row r="214" s="102" customFormat="1" ht="11.25"/>
    <row r="215" s="102" customFormat="1" ht="11.25"/>
    <row r="216" s="102" customFormat="1" ht="11.25"/>
    <row r="217" s="102" customFormat="1" ht="11.25"/>
  </sheetData>
  <sheetProtection formatCells="0" formatColumns="0" formatRows="0" insertColumns="0" insertRows="0" insertHyperlinks="0" deleteColumns="0" deleteRows="0" sort="0" autoFilter="0" pivotTables="0"/>
  <mergeCells count="29">
    <mergeCell ref="M96:M97"/>
    <mergeCell ref="D96:L96"/>
    <mergeCell ref="F3:K3"/>
    <mergeCell ref="L3:L4"/>
    <mergeCell ref="A153:A169"/>
    <mergeCell ref="D3:E3"/>
    <mergeCell ref="A4:C4"/>
    <mergeCell ref="A5:A7"/>
    <mergeCell ref="D11:L11"/>
    <mergeCell ref="A170:A174"/>
    <mergeCell ref="C5:C7"/>
    <mergeCell ref="A13:A41"/>
    <mergeCell ref="A45:A60"/>
    <mergeCell ref="A63:A95"/>
    <mergeCell ref="A98:A133"/>
    <mergeCell ref="A136:A150"/>
    <mergeCell ref="B10:M10"/>
    <mergeCell ref="M11:M12"/>
    <mergeCell ref="M61:M62"/>
    <mergeCell ref="A2:M2"/>
    <mergeCell ref="D134:L134"/>
    <mergeCell ref="M134:M135"/>
    <mergeCell ref="D151:L151"/>
    <mergeCell ref="M151:M152"/>
    <mergeCell ref="D179:L179"/>
    <mergeCell ref="M179:M180"/>
    <mergeCell ref="D42:L42"/>
    <mergeCell ref="M42:M43"/>
    <mergeCell ref="D61:L61"/>
  </mergeCells>
  <printOptions/>
  <pageMargins left="0.62" right="0.33" top="0.3" bottom="0.2" header="0.17" footer="0.16"/>
  <pageSetup horizontalDpi="600" verticalDpi="600" orientation="landscape" paperSize="9" scale="95" r:id="rId3"/>
  <rowBreaks count="7" manualBreakCount="7">
    <brk id="9" max="12" man="1"/>
    <brk id="41" max="12" man="1"/>
    <brk id="60" max="255" man="1"/>
    <brk id="95" max="255" man="1"/>
    <brk id="133" max="255" man="1"/>
    <brk id="150" max="255" man="1"/>
    <brk id="17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Vilniaus universitetas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darbuzmoknaujas</cp:lastModifiedBy>
  <cp:lastPrinted>2015-02-05T09:55:40Z</cp:lastPrinted>
  <dcterms:created xsi:type="dcterms:W3CDTF">2015-01-23T09:20:38Z</dcterms:created>
  <dcterms:modified xsi:type="dcterms:W3CDTF">2015-02-05T09:56:38Z</dcterms:modified>
  <cp:category/>
  <cp:version/>
  <cp:contentType/>
  <cp:contentStatus/>
</cp:coreProperties>
</file>